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zCVa3eE63XT8FNrY8SPBBFV6wqr7wOnSF6TUdcLe+ONOCpgeBfqWgWZTrrbsNe8rrqKSaw3y2MYs2y8yvG8big==" workbookSaltValue="fxAXKPqJJMQ2GUSuo5wF7Q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I35" i="83" l="1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78" i="83" l="1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Z279" i="83" l="1"/>
  <c r="S279" i="83"/>
  <c r="U194" i="83"/>
  <c r="Z194" i="83" s="1"/>
  <c r="S251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I245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G190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G302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H161" i="83" l="1"/>
  <c r="AG214" i="83"/>
  <c r="AK161" i="83"/>
  <c r="AO161" i="83" s="1"/>
  <c r="AK214" i="83"/>
  <c r="AC136" i="83"/>
  <c r="AK136" i="83" s="1"/>
  <c r="Y194" i="83"/>
  <c r="AH247" i="83"/>
  <c r="Y138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G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I334" i="83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I136" i="83" l="1"/>
  <c r="AH136" i="83"/>
  <c r="AH278" i="83"/>
  <c r="Y112" i="83"/>
  <c r="AH334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Q222" i="83" l="1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<sst xmlns="http://schemas.openxmlformats.org/spreadsheetml/2006/main" count="65899" uniqueCount="757">
  <si>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</si>
  <si>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</si>
  <si>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</si>
  <si>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</si>
  <si>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</si>
  <si>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</si>
  <si>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</si>
  <si>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</si>
  <si>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</si>
  <si>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</si>
  <si>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</si>
  <si>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</si>
  <si>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</si>
  <si>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</si>
  <si>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</si>
  <si>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</si>
  <si>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</si>
  <si>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</si>
  <si>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</si>
  <si>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</si>
  <si>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</si>
  <si>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</si>
  <si>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</si>
  <si>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</si>
  <si>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</si>
  <si>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</si>
  <si>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</si>
  <si>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</si>
  <si>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</si>
  <si>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</si>
  <si>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</si>
  <si>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</si>
  <si>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</si>
  <si>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</si>
  <si>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</si>
  <si>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</si>
  <si>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</si>
  <si>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</si>
  <si>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</si>
  <si>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</si>
  <si>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</si>
  <si>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</si>
  <si>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</si>
  <si>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</si>
  <si>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</si>
  <si>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</si>
  <si>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</si>
  <si>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</si>
  <si>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</si>
  <si>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</si>
  <si>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</si>
  <si>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</si>
  <si>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</si>
  <si>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</si>
  <si>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</si>
  <si>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</si>
  <si>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</si>
  <si>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</si>
  <si>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</si>
  <si>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</si>
  <si>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</si>
  <si>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</si>
  <si>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</si>
  <si>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</si>
  <si>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</si>
  <si>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</si>
  <si>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</si>
  <si>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</si>
  <si>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</si>
  <si>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</si>
  <si>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</si>
  <si>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</si>
  <si>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</si>
  <si>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</si>
  <si>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</si>
  <si>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</si>
  <si>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</si>
  <si>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</si>
  <si>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</si>
  <si>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</si>
  <si>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</si>
  <si>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</si>
  <si>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</si>
  <si>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</si>
  <si>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</si>
  <si>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</si>
  <si>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</si>
  <si>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</si>
  <si>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</si>
  <si>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</si>
  <si>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</si>
  <si>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</si>
  <si>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</si>
  <si>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</si>
  <si>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</si>
  <si>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</si>
  <si>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</si>
  <si>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</si>
  <si>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</si>
  <si>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</si>
  <si>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</si>
  <si>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</si>
  <si>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</si>
  <si>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</si>
  <si>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</si>
  <si>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</si>
  <si>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</si>
  <si>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</si>
  <si>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</si>
  <si>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</si>
  <si>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</si>
  <si>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</si>
  <si>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</si>
  <si>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</si>
  <si>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</si>
  <si>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</si>
  <si>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</si>
  <si>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</si>
  <si>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</si>
  <si>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</si>
  <si>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</si>
  <si>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</si>
  <si>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</si>
  <si>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</si>
  <si>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</si>
  <si>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</si>
  <si>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</si>
  <si>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</si>
  <si>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</si>
  <si>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</si>
  <si>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</si>
  <si>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</si>
  <si>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</si>
  <si>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</si>
  <si>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</si>
  <si>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</si>
  <si>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</si>
  <si>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</si>
  <si>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</si>
  <si>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</si>
  <si>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</si>
  <si>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</si>
  <si>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</si>
  <si>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</si>
  <si>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</si>
  <si>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</si>
  <si>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</si>
  <si>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</si>
  <si>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</si>
  <si>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</si>
  <si>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</si>
  <si>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</si>
  <si>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</si>
  <si>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</si>
  <si>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</si>
  <si>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</si>
  <si>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</si>
  <si>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</si>
  <si>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</si>
  <si>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</si>
  <si>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</si>
  <si>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</si>
  <si>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</si>
  <si>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</si>
  <si>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</si>
  <si>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</si>
  <si>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</si>
  <si>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</si>
  <si>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</si>
  <si>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</si>
  <si>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</si>
  <si>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</si>
  <si>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</si>
  <si>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</si>
  <si>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</si>
  <si>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</si>
  <si>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</si>
  <si>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</si>
  <si>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</si>
  <si>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</si>
  <si>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</si>
  <si>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</si>
  <si>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</si>
  <si>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</si>
  <si>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</si>
  <si>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</si>
  <si>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</si>
  <si>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</si>
  <si>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</si>
  <si>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</si>
  <si>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</si>
  <si>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</si>
  <si>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</si>
  <si>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</si>
  <si>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</si>
  <si>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</si>
  <si>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</si>
  <si>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</si>
  <si>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</si>
  <si>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</si>
  <si>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</si>
  <si>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</si>
  <si>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</si>
  <si>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</si>
  <si>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</si>
  <si>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</si>
  <si>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</si>
  <si>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</si>
  <si>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</si>
  <si>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</si>
  <si>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</si>
  <si>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</si>
  <si>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</si>
  <si>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</si>
  <si>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</si>
  <si>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</si>
  <si>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</si>
  <si>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</si>
  <si>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</si>
  <si>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</si>
  <si>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</si>
  <si>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</si>
  <si>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</si>
  <si>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</si>
  <si>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</si>
  <si>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</si>
  <si>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</si>
  <si>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</si>
  <si>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</si>
  <si>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</si>
  <si>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</si>
  <si>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</si>
  <si>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</si>
  <si>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</si>
  <si>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</si>
  <si>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</si>
  <si>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</si>
  <si>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</si>
  <si>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</si>
  <si>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</si>
  <si>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</si>
  <si>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</si>
  <si>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</si>
  <si>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</si>
  <si>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</si>
  <si>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</si>
  <si>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</si>
  <si>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</si>
  <si>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</si>
  <si>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</si>
  <si>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</si>
  <si>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</si>
  <si>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</si>
  <si>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</si>
  <si>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</si>
  <si>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</si>
  <si>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</si>
  <si>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</si>
  <si>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</si>
  <si>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</si>
  <si>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</si>
  <si>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</si>
  <si>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</si>
  <si>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</si>
  <si>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</si>
  <si>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</si>
  <si>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</si>
  <si>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</si>
  <si>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</si>
  <si>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</si>
  <si>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</si>
  <si>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</si>
  <si>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</si>
  <si>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</si>
  <si>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</si>
  <si>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</si>
  <si>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</si>
  <si>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</si>
  <si>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</si>
  <si>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</si>
  <si>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</si>
  <si>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</si>
  <si>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</si>
  <si>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</si>
  <si>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</si>
  <si>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</si>
  <si>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</si>
  <si>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</si>
  <si>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</si>
  <si>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</si>
  <si>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</si>
  <si>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</si>
  <si>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</si>
  <si>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</si>
  <si>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</si>
  <si>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</si>
  <si>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</si>
  <si>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</si>
  <si>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</si>
  <si>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</si>
  <si>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</si>
  <si>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</si>
  <si>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</si>
  <si>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</si>
  <si>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</si>
  <si>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</si>
  <si>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</si>
  <si>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</si>
  <si>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</si>
  <si>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</si>
  <si>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</si>
  <si>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</si>
  <si>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</si>
  <si>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</si>
  <si>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</si>
  <si>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</si>
  <si>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</si>
  <si>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</si>
  <si>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</si>
  <si>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</si>
  <si>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</si>
  <si>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</si>
  <si>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</si>
  <si>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</si>
  <si>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</si>
  <si>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</si>
  <si>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</si>
  <si>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</si>
  <si>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</si>
  <si>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</si>
  <si>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</si>
  <si>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</si>
  <si>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</si>
  <si>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</si>
  <si>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</si>
  <si>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</si>
  <si>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</si>
  <si>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</si>
  <si>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</si>
  <si>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</si>
  <si>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</si>
  <si>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</si>
  <si>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</si>
  <si>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</si>
  <si>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</si>
  <si>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</si>
  <si>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</si>
  <si>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</si>
  <si>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</si>
  <si>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</si>
  <si>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</si>
  <si>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</si>
  <si>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</si>
  <si>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</si>
  <si>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</si>
  <si>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</si>
  <si>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</si>
  <si>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</si>
  <si>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</si>
  <si>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</si>
  <si>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</si>
  <si>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</si>
  <si>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</si>
  <si>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</si>
  <si>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</si>
  <si>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</si>
  <si>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</si>
  <si>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</si>
  <si>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</si>
  <si>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</si>
  <si>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</si>
  <si>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</si>
  <si>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</si>
  <si>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</si>
  <si>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</si>
  <si>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</si>
  <si>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</si>
  <si>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</si>
  <si>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</si>
  <si>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</si>
  <si>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</si>
  <si>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</si>
  <si>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</si>
  <si>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</si>
  <si>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</si>
  <si>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</si>
  <si>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</si>
  <si>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</si>
  <si>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</si>
  <si>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</si>
  <si>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</si>
  <si>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</si>
  <si>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</si>
  <si>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</si>
  <si>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</si>
  <si>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</si>
  <si>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</si>
  <si>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</si>
  <si>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</si>
  <si>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</si>
  <si>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</si>
  <si>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</si>
  <si>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</si>
  <si>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</si>
  <si>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</si>
  <si>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</si>
  <si>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</si>
  <si>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</si>
  <si>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</si>
  <si>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</si>
  <si>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</si>
  <si>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</si>
  <si>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</si>
  <si>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</si>
  <si>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</si>
  <si>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</si>
  <si>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</si>
  <si>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</si>
  <si>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</si>
  <si>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</si>
  <si>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</si>
  <si>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</si>
  <si>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</si>
  <si>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</si>
  <si>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</si>
  <si>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</si>
  <si>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</si>
  <si>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</si>
  <si>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</si>
  <si>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</si>
  <si>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</si>
  <si>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</si>
  <si>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</si>
  <si>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</si>
  <si>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</si>
  <si>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</si>
  <si>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</si>
  <si>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</si>
  <si>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</si>
  <si>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</si>
  <si>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</si>
  <si>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</si>
  <si>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</si>
  <si>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</si>
  <si>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</si>
  <si>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</si>
  <si>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</si>
  <si>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</si>
  <si>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</si>
  <si>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</si>
  <si>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</si>
  <si>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</si>
  <si>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</si>
  <si>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</si>
  <si>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</si>
  <si>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</si>
  <si>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</si>
  <si>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</si>
  <si>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</si>
  <si>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</si>
  <si>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</si>
  <si>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</si>
  <si>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</si>
  <si>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</si>
  <si>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</si>
  <si>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</si>
  <si>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</si>
  <si>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</si>
  <si>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</si>
  <si>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</si>
  <si>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</si>
  <si>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</si>
  <si>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</si>
  <si>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</si>
  <si>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</si>
  <si>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</si>
  <si>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</si>
  <si>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</si>
  <si>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</si>
  <si>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</si>
  <si>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</si>
  <si>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</si>
  <si>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</si>
  <si>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</si>
  <si>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</si>
  <si>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</si>
  <si>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</si>
  <si>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</si>
  <si>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</si>
  <si>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</si>
  <si>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</si>
  <si>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</si>
  <si>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</si>
  <si>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</si>
  <si>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</si>
  <si>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</si>
  <si>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</si>
  <si>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</si>
  <si>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</si>
  <si>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</si>
  <si>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</si>
  <si>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</si>
  <si>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</si>
  <si>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</si>
  <si>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</si>
  <si>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</si>
  <si>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</si>
  <si>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</si>
  <si>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</si>
  <si>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</si>
  <si>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</si>
  <si>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</si>
  <si>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</si>
  <si>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</si>
  <si>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</si>
  <si>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</si>
  <si>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</si>
  <si>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</si>
  <si>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</si>
  <si>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</si>
  <si>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</si>
  <si>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</si>
  <si>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</si>
  <si>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</si>
  <si>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</si>
  <si>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</si>
  <si>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</si>
  <si>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</si>
  <si>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</si>
  <si>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</si>
  <si>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</si>
  <si>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</si>
  <si>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</si>
  <si>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</si>
  <si>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</si>
  <si>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</si>
  <si>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</si>
  <si>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</si>
  <si>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</si>
  <si>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</si>
  <si>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</si>
  <si>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</si>
  <si>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</si>
  <si>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</si>
  <si>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</si>
  <si>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</si>
  <si>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</si>
  <si>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</si>
  <si>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</si>
  <si>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</si>
  <si>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</si>
  <si>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</si>
  <si>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</si>
  <si>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</si>
  <si>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</si>
  <si>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</si>
  <si>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</si>
  <si>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</si>
  <si>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</si>
  <si>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</si>
  <si>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</si>
  <si>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</si>
  <si>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</si>
  <si>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</si>
  <si>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</si>
  <si>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</si>
  <si>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</si>
  <si>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</si>
  <si>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</si>
  <si>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</si>
  <si>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</si>
  <si>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</si>
  <si>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</si>
  <si>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</si>
  <si>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</si>
  <si>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</si>
  <si>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</si>
  <si>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</si>
  <si>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</si>
  <si>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</si>
  <si>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</si>
  <si>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</si>
  <si>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</si>
  <si>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</si>
  <si>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</si>
  <si>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</si>
  <si>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</si>
  <si>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</si>
  <si>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</si>
  <si>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</si>
  <si>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</si>
  <si>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</si>
  <si>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</si>
  <si>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</si>
  <si>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</si>
  <si>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</si>
  <si>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</si>
  <si>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</si>
  <si>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</si>
  <si>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</si>
  <si>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</si>
  <si>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</si>
  <si>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</si>
  <si>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</si>
  <si>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</si>
  <si>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</si>
  <si>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</si>
  <si>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</si>
  <si>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</si>
  <si>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</si>
  <si>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</si>
  <si>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</si>
  <si>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</si>
  <si>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</si>
  <si>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</si>
  <si>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</si>
  <si>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</si>
  <si>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</si>
  <si>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</si>
  <si>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</si>
  <si>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</si>
  <si>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</si>
  <si>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</si>
  <si>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</si>
  <si>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</si>
  <si>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</si>
  <si>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</si>
  <si>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</si>
  <si>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</si>
  <si>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</si>
  <si>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</si>
  <si>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</si>
  <si>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</si>
  <si>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</si>
  <si>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</si>
  <si>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</si>
  <si>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</si>
  <si>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</si>
  <si>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</si>
  <si>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</si>
  <si>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</si>
  <si>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</si>
  <si>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</si>
  <si>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</si>
  <si>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</si>
  <si>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</si>
  <si>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</si>
  <si>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</si>
  <si>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</si>
  <si>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</si>
  <si>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</si>
  <si>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</si>
  <si>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</si>
  <si>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</si>
  <si>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</si>
  <si>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</si>
  <si>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</si>
  <si>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</si>
  <si>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</si>
  <si>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</si>
  <si>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</si>
  <si>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</si>
  <si>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</si>
  <si>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</si>
  <si>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</si>
  <si>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</si>
  <si>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</si>
  <si>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</si>
  <si>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</si>
  <si>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</si>
  <si>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</si>
  <si>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</si>
  <si>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</si>
  <si>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</si>
  <si>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</si>
  <si>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</si>
  <si>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</si>
  <si>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</si>
  <si>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</si>
  <si>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</si>
  <si>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</si>
  <si>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</si>
  <si>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</si>
  <si>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</si>
  <si>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</si>
  <si>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</si>
  <si>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</si>
  <si>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</si>
  <si>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</si>
  <si>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</si>
  <si>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</si>
  <si>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</si>
  <si>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</si>
  <si>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</si>
  <si>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</si>
  <si>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</si>
  <si>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</si>
  <si>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</si>
  <si>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</si>
  <si>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</si>
  <si>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</si>
  <si>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</si>
  <si>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</si>
  <si>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</si>
  <si>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</si>
  <si>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</si>
  <si>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</si>
  <si>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</si>
  <si>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</si>
  <si>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</si>
  <si>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</si>
  <si>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</si>
  <si>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</si>
  <si>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</si>
  <si>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</si>
  <si>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</si>
  <si>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</si>
  <si>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</si>
  <si>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</si>
  <si>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</si>
  <si>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</si>
  <si>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</si>
  <si>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</si>
  <si>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</si>
  <si>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</si>
  <si>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</si>
  <si>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</si>
  <si>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</si>
  <si>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</si>
  <si>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</si>
  <si>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</si>
  <si>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</si>
  <si>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</si>
  <si>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</si>
  <si>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</si>
  <si>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</si>
  <si>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</si>
  <si>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</si>
  <si>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</si>
  <si>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</si>
  <si>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</si>
  <si>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</si>
  <si>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</si>
  <si>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</si>
  <si>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</si>
  <si>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</si>
  <si>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</si>
  <si>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</si>
  <si>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</si>
  <si>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</si>
  <si>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</si>
  <si>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</si>
  <si>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</si>
  <si>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</si>
  <si>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</si>
  <si>
    <t>Deputy Minister</t>
  </si>
  <si>
    <t>Minister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</si>
</sst>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26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1.0622570214388783E-4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0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0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0.12718728300429408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0.87270649129356204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7.5999999999999998E-2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6.9000000000000006E-2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1.4999999999999999E-2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1030823.9700000004</v>
      </c>
    </row>
    <row r="4" spans="1:29" x14ac:dyDescent="0.25">
      <c r="A4" s="2">
        <f>Results!$D$3</f>
        <v>26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0.97592329382656329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0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0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2.4076706173436768E-2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0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0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0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0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0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0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0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0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0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7.5999999999999998E-2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7.0000000000000021E-2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6.900000000000002E-2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6.7000000000000018E-2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1.5000000000000001E-2</v>
      </c>
      <c r="AB4" s="2">
        <f>SUMIFS(PERSALDATA!$G$2:$G$20871,PERSALDATA!$A$2:$A$20871,WORKING!A4,PERSALDATA!$D$2:$D$20871,WORKING!B4,PERSALDATA!$E$2:$E$20871,WORKING!C4,PERSALDATA!$F$2:$F$20871,"S&amp;W: BASIC SALARY (RES)")</f>
        <v>9</v>
      </c>
      <c r="AC4" s="2">
        <f>SUMIFS(PERSALDATA!$H$2:$H$20871,PERSALDATA!$A$2:$A$20871,WORKING!A4,PERSALDATA!$D$2:$D$20871,WORKING!B4,PERSALDATA!$E$2:$E$20871,WORKING!C4)</f>
        <v>880813.59</v>
      </c>
    </row>
    <row r="5" spans="1:29" x14ac:dyDescent="0.25">
      <c r="A5" s="2">
        <f>Results!$D$3</f>
        <v>26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0.70562063960589383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5.8739754216971127E-2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4.0791168122895627E-2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7.1275767766739639E-3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9.5462664287609911E-2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9.1729724745163319E-2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0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5.2847224479218109E-4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0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0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0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7.4236348522686485E-2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7.1024028283085197E-2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7.002402828308521E-2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6.8024028283085208E-2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1.2948265430170532E-2</v>
      </c>
      <c r="AB5" s="2">
        <f>SUMIFS(PERSALDATA!$G$2:$G$20871,PERSALDATA!$A$2:$A$20871,WORKING!A5,PERSALDATA!$D$2:$D$20871,WORKING!B5,PERSALDATA!$E$2:$E$20871,WORKING!C5,PERSALDATA!$F$2:$F$20871,"S&amp;W: BASIC SALARY (RES)")</f>
        <v>4</v>
      </c>
      <c r="AC5" s="2">
        <f>SUMIFS(PERSALDATA!$H$2:$H$20871,PERSALDATA!$A$2:$A$20871,WORKING!A5,PERSALDATA!$D$2:$D$20871,WORKING!B5,PERSALDATA!$E$2:$E$20871,WORKING!C5)</f>
        <v>529526.39</v>
      </c>
    </row>
    <row r="6" spans="1:29" x14ac:dyDescent="0.25">
      <c r="A6" s="2">
        <f>Results!$D$3</f>
        <v>26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0.71485818911098231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4.4755979566893332E-2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0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0.1469998520261416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0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9.2929832517651481E-2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0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4.5614677833134587E-4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0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0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0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7.6000000000000012E-2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7.0000000000000021E-2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6.900000000000002E-2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6.7000000000000004E-2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1.4993157798325031E-2</v>
      </c>
      <c r="AB6" s="2">
        <f>SUMIFS(PERSALDATA!$G$2:$G$20871,PERSALDATA!$A$2:$A$20871,WORKING!A6,PERSALDATA!$D$2:$D$20871,WORKING!B6,PERSALDATA!$E$2:$E$20871,WORKING!C6,PERSALDATA!$F$2:$F$20871,"S&amp;W: BASIC SALARY (RES)")</f>
        <v>1</v>
      </c>
      <c r="AC6" s="2">
        <f>SUMIFS(PERSALDATA!$H$2:$H$20871,PERSALDATA!$A$2:$A$20871,WORKING!A6,PERSALDATA!$D$2:$D$20871,WORKING!B6,PERSALDATA!$E$2:$E$20871,WORKING!C6)</f>
        <v>102247.79</v>
      </c>
    </row>
    <row r="7" spans="1:29" x14ac:dyDescent="0.25">
      <c r="A7" s="2">
        <f>Results!$D$3</f>
        <v>26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0.62928321472701043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4.9771557688217845E-2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4.9118809566588581E-2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0.11226397935893528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6.487712490905416E-2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8.1806126165426318E-2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8.5223364550080401E-3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3.2981439791064567E-4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1.1134794124784248E-3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2.9135573193703021E-3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7.317525022166603E-2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7.0481968777969931E-2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6.948196877796993E-2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6.7481968777969914E-2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1.3285113766896698E-2</v>
      </c>
      <c r="AB7" s="2">
        <f>SUMIFS(PERSALDATA!$G$2:$G$20871,PERSALDATA!$A$2:$A$20871,WORKING!A7,PERSALDATA!$D$2:$D$20871,WORKING!B7,PERSALDATA!$E$2:$E$20871,WORKING!C7,PERSALDATA!$F$2:$F$20871,"S&amp;W: BASIC SALARY (RES)")</f>
        <v>64</v>
      </c>
      <c r="AC7" s="2">
        <f>SUMIFS(PERSALDATA!$H$2:$H$20871,PERSALDATA!$A$2:$A$20871,WORKING!A7,PERSALDATA!$D$2:$D$20871,WORKING!B7,PERSALDATA!$E$2:$E$20871,WORKING!C7)</f>
        <v>13363516.049999999</v>
      </c>
    </row>
    <row r="8" spans="1:29" x14ac:dyDescent="0.25">
      <c r="A8" s="2">
        <f>Results!$D$3</f>
        <v>26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0.65509896256974998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5.1900623256734314E-2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4.641218692677726E-2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8.2402642518381239E-2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5.4331450496503578E-2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8.516208645912661E-2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1.405492152988418E-2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2.7487801882728787E-4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8.2215873984576859E-3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2.1406608255578798E-3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7.3233314100515978E-2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7.0350849888179787E-2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6.9350849888179786E-2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6.7350849888179784E-2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1.3484722268368377E-2</v>
      </c>
      <c r="AB8" s="2">
        <f>SUMIFS(PERSALDATA!$G$2:$G$20871,PERSALDATA!$A$2:$A$20871,WORKING!A8,PERSALDATA!$D$2:$D$20871,WORKING!B8,PERSALDATA!$E$2:$E$20871,WORKING!C8,PERSALDATA!$F$2:$F$20871,"S&amp;W: BASIC SALARY (RES)")</f>
        <v>21</v>
      </c>
      <c r="AC8" s="2">
        <f>SUMIFS(PERSALDATA!$H$2:$H$20871,PERSALDATA!$A$2:$A$20871,WORKING!A8,PERSALDATA!$D$2:$D$20871,WORKING!B8,PERSALDATA!$E$2:$E$20871,WORKING!C8)</f>
        <v>5429608.4000000004</v>
      </c>
    </row>
    <row r="9" spans="1:29" x14ac:dyDescent="0.25">
      <c r="A9" s="2">
        <f>Results!$D$3</f>
        <v>26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0.67768035652082959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5.7941979704663901E-2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3.6484094220229982E-2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4.2176891640631396E-2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4.8957696400246449E-2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8.809786034911965E-2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2.8854538196990839E-2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2.2814219567811653E-4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4.1662226769363384E-3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1.4451723916471253E-2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9.6049417820251719E-4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0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7.391261658886597E-2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7.0369524503801406E-2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6.9369524503801419E-2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6.736952450380139E-2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1.3714951007757683E-2</v>
      </c>
      <c r="AB9" s="2">
        <f>SUMIFS(PERSALDATA!$G$2:$G$20871,PERSALDATA!$A$2:$A$20871,WORKING!A9,PERSALDATA!$D$2:$D$20871,WORKING!B9,PERSALDATA!$E$2:$E$20871,WORKING!C9,PERSALDATA!$F$2:$F$20871,"S&amp;W: BASIC SALARY (RES)")</f>
        <v>49</v>
      </c>
      <c r="AC9" s="2">
        <f>SUMIFS(PERSALDATA!$H$2:$H$20871,PERSALDATA!$A$2:$A$20871,WORKING!A9,PERSALDATA!$D$2:$D$20871,WORKING!B9,PERSALDATA!$E$2:$E$20871,WORKING!C9)</f>
        <v>15179217.459999999</v>
      </c>
    </row>
    <row r="10" spans="1:29" x14ac:dyDescent="0.25">
      <c r="A10" s="2">
        <f>Results!$D$3</f>
        <v>26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0.7147658920920047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5.3013924494283493E-2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3.1613732803122255E-2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4.485455724946829E-2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2.9625596842546023E-2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9.2918988017253026E-2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2.4349793721536714E-2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1.9706390518550027E-4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0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7.3804525873882336E-3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0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1.2799982872116989E-3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7.4012114662758338E-2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7.0128246624606982E-2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6.9128246624606982E-2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6.7128246624606966E-2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1.407845409673719E-2</v>
      </c>
      <c r="AB10" s="2">
        <f>SUMIFS(PERSALDATA!$G$2:$G$20871,PERSALDATA!$A$2:$A$20871,WORKING!A10,PERSALDATA!$D$2:$D$20871,WORKING!B10,PERSALDATA!$E$2:$E$20871,WORKING!C10,PERSALDATA!$F$2:$F$20871,"S&amp;W: BASIC SALARY (RES)")</f>
        <v>29</v>
      </c>
      <c r="AC10" s="2">
        <f>SUMIFS(PERSALDATA!$H$2:$H$20871,PERSALDATA!$A$2:$A$20871,WORKING!A10,PERSALDATA!$D$2:$D$20871,WORKING!B10,PERSALDATA!$E$2:$E$20871,WORKING!C10)</f>
        <v>10058919.710000001</v>
      </c>
    </row>
    <row r="11" spans="1:29" x14ac:dyDescent="0.25">
      <c r="A11" s="2">
        <f>Results!$D$3</f>
        <v>26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0.71388611014144832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5.8309948136559556E-2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2.7576982706638293E-2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3.1246627770009049E-2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4.0250829729182362E-2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9.2828912455993909E-2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3.1786639708156497E-2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1.652977475332426E-4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0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3.3806090362901962E-3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5.6804256818864863E-4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7.446766093050404E-2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7.0327992618871363E-2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6.9327992618871348E-2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6.7327992618871374E-2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1.3980103347249691E-2</v>
      </c>
      <c r="AB11" s="2">
        <f>SUMIFS(PERSALDATA!$G$2:$G$20871,PERSALDATA!$A$2:$A$20871,WORKING!A11,PERSALDATA!$D$2:$D$20871,WORKING!B11,PERSALDATA!$E$2:$E$20871,WORKING!C11,PERSALDATA!$F$2:$F$20871,"S&amp;W: BASIC SALARY (RES)")</f>
        <v>32</v>
      </c>
      <c r="AC11" s="2">
        <f>SUMIFS(PERSALDATA!$H$2:$H$20871,PERSALDATA!$A$2:$A$20871,WORKING!A11,PERSALDATA!$D$2:$D$20871,WORKING!B11,PERSALDATA!$E$2:$E$20871,WORKING!C11)</f>
        <v>13402481.48</v>
      </c>
    </row>
    <row r="12" spans="1:29" x14ac:dyDescent="0.25">
      <c r="A12" s="2">
        <f>Results!$D$3</f>
        <v>26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0.72800482644489817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5.9780314446725741E-2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2.37254936866419E-2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1.2979845431354935E-2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3.046438677087223E-2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9.464026972280272E-2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2.8388711981320175E-2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1.3149111251464785E-4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5.1329266810969916E-3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0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1.3540376078989074E-2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0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3.2113576427833619E-3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7.4623363894607428E-2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7.021971086469668E-2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6.9219710864696665E-2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6.7219710864696677E-2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1.4185179426449566E-2</v>
      </c>
      <c r="AB12" s="2">
        <f>SUMIFS(PERSALDATA!$G$2:$G$20871,PERSALDATA!$A$2:$A$20871,WORKING!A12,PERSALDATA!$D$2:$D$20871,WORKING!B12,PERSALDATA!$E$2:$E$20871,WORKING!C12,PERSALDATA!$F$2:$F$20871,"S&amp;W: BASIC SALARY (RES)")</f>
        <v>13</v>
      </c>
      <c r="AC12" s="2">
        <f>SUMIFS(PERSALDATA!$H$2:$H$20871,PERSALDATA!$A$2:$A$20871,WORKING!A12,PERSALDATA!$D$2:$D$20871,WORKING!B12,PERSALDATA!$E$2:$E$20871,WORKING!C12)</f>
        <v>7093635.3200000003</v>
      </c>
    </row>
    <row r="13" spans="1:29" x14ac:dyDescent="0.25">
      <c r="A13" s="2">
        <f>Results!$D$3</f>
        <v>26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0.6534491612847706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4.6692756755378075E-2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3.6684079201920947E-2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1.3927616086386665E-2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1.8412849477562478E-2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8.4948081315728605E-2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2.8914874950488573E-2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1.0766414939302733E-4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8.6179219802025489E-2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2.8433449817146659E-2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1.7677513218540323E-3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4.8249583734484504E-4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1.417193110756685E-2</v>
      </c>
      <c r="AB13" s="2">
        <f>SUMIFS(PERSALDATA!$G$2:$G$20871,PERSALDATA!$A$2:$A$20871,WORKING!A13,PERSALDATA!$D$2:$D$20871,WORKING!B13,PERSALDATA!$E$2:$E$20871,WORKING!C13,PERSALDATA!$F$2:$F$20871,"S&amp;W: BASIC SALARY (RES)")</f>
        <v>29</v>
      </c>
      <c r="AC13" s="2">
        <f>SUMIFS(PERSALDATA!$H$2:$H$20871,PERSALDATA!$A$2:$A$20871,WORKING!A13,PERSALDATA!$D$2:$D$20871,WORKING!B13,PERSALDATA!$E$2:$E$20871,WORKING!C13)</f>
        <v>18408448.969999999</v>
      </c>
    </row>
    <row r="14" spans="1:29" x14ac:dyDescent="0.25">
      <c r="A14" s="2">
        <f>Results!$D$3</f>
        <v>26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0.66738985928621797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5.4160447768851226E-2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9.7455149547650017E-3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1.2920982792692052E-2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1.2869325057611861E-2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8.6760425299121494E-2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3.3665742654294908E-2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9.1859127869754799E-5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0.11293626651393267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4.1208562331471067E-3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2.4441132945389678E-3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2.8946070169570473E-3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1.4659399512896298E-2</v>
      </c>
      <c r="AB14" s="2">
        <f>SUMIFS(PERSALDATA!$G$2:$G$20871,PERSALDATA!$A$2:$A$20871,WORKING!A14,PERSALDATA!$D$2:$D$20871,WORKING!B14,PERSALDATA!$E$2:$E$20871,WORKING!C14,PERSALDATA!$F$2:$F$20871,"S&amp;W: BASIC SALARY (RES)")</f>
        <v>9</v>
      </c>
      <c r="AC14" s="2">
        <f>SUMIFS(PERSALDATA!$H$2:$H$20871,PERSALDATA!$A$2:$A$20871,WORKING!A14,PERSALDATA!$D$2:$D$20871,WORKING!B14,PERSALDATA!$E$2:$E$20871,WORKING!C14)</f>
        <v>7869876.5900000008</v>
      </c>
    </row>
    <row r="15" spans="1:29" x14ac:dyDescent="0.25">
      <c r="A15" s="2">
        <f>Results!$D$3</f>
        <v>26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0.62359599322627812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4.1191503670771262E-2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2.3952730312474212E-2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1.2859126089808558E-2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8.1067284507598522E-2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3.5962667859522957E-3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7.4391272844608587E-5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0.17874535652544893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3.3336039122252262E-2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1.5813084865713687E-3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1.4446706284873091E-2</v>
      </c>
      <c r="AB15" s="2">
        <f>SUMIFS(PERSALDATA!$G$2:$G$20871,PERSALDATA!$A$2:$A$20871,WORKING!A15,PERSALDATA!$D$2:$D$20871,WORKING!B15,PERSALDATA!$E$2:$E$20871,WORKING!C15,PERSALDATA!$F$2:$F$20871,"S&amp;W: BASIC SALARY (RES)")</f>
        <v>20</v>
      </c>
      <c r="AC15" s="2">
        <f>SUMIFS(PERSALDATA!$H$2:$H$20871,PERSALDATA!$A$2:$A$20871,WORKING!A15,PERSALDATA!$D$2:$D$20871,WORKING!B15,PERSALDATA!$E$2:$E$20871,WORKING!C15)</f>
        <v>19435613.139999997</v>
      </c>
    </row>
    <row r="16" spans="1:29" x14ac:dyDescent="0.25">
      <c r="A16" s="2">
        <f>Results!$D$3</f>
        <v>26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0.57657474671922249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3.204246131238745E-2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3.0165687377759855E-2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1.0363906101737338E-2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7.4954593003747919E-2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0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5.8565619831974557E-5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0.23288366101551994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4.1100488362819057E-2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1.8558904869741266E-3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1.4391177613510065E-2</v>
      </c>
      <c r="AB16" s="2">
        <f>SUMIFS(PERSALDATA!$G$2:$G$20871,PERSALDATA!$A$2:$A$20871,WORKING!A16,PERSALDATA!$D$2:$D$20871,WORKING!B16,PERSALDATA!$E$2:$E$20871,WORKING!C16,PERSALDATA!$F$2:$F$20871,"S&amp;W: BASIC SALARY (RES)")</f>
        <v>5</v>
      </c>
      <c r="AC16" s="2">
        <f>SUMIFS(PERSALDATA!$H$2:$H$20871,PERSALDATA!$A$2:$A$20871,WORKING!A16,PERSALDATA!$D$2:$D$20871,WORKING!B16,PERSALDATA!$E$2:$E$20871,WORKING!C16)</f>
        <v>7067798.4999999991</v>
      </c>
    </row>
    <row r="17" spans="1:29" x14ac:dyDescent="0.25">
      <c r="A17" s="2">
        <f>Results!$D$3</f>
        <v>26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0.60822655813043391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3.049154588894042E-2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6.5980560831652743E-4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6.8171321640516213E-3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7.9069324644446631E-2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5.3217231315308456E-5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0.25051125188980639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2.3079011114841071E-2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1.0921533278480907E-3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1.4887047674944746E-2</v>
      </c>
      <c r="AB17" s="2">
        <f>SUMIFS(PERSALDATA!$G$2:$G$20871,PERSALDATA!$A$2:$A$20871,WORKING!A17,PERSALDATA!$D$2:$D$20871,WORKING!B17,PERSALDATA!$E$2:$E$20871,WORKING!C17,PERSALDATA!$F$2:$F$20871,"S&amp;W: BASIC SALARY (RES)")</f>
        <v>8</v>
      </c>
      <c r="AC17" s="2">
        <f>SUMIFS(PERSALDATA!$H$2:$H$20871,PERSALDATA!$A$2:$A$20871,WORKING!A17,PERSALDATA!$D$2:$D$20871,WORKING!B17,PERSALDATA!$E$2:$E$20871,WORKING!C17)</f>
        <v>9311833.5500000007</v>
      </c>
    </row>
    <row r="18" spans="1:29" x14ac:dyDescent="0.25">
      <c r="A18" s="2">
        <f>Results!$D$3</f>
        <v>26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0.65012652454933917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7.1166634324748117E-3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4.3529976958938304E-3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5.8751318551629343E-2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1.5665417633988292E-5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0.27963683035302878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1.493447005329708E-2</v>
      </c>
      <c r="AB18" s="2">
        <f>SUMIFS(PERSALDATA!$G$2:$G$20871,PERSALDATA!$A$2:$A$20871,WORKING!A18,PERSALDATA!$D$2:$D$20871,WORKING!B18,PERSALDATA!$E$2:$E$20871,WORKING!C18,PERSALDATA!$F$2:$F$20871,"S&amp;W: BASIC SALARY (RES)")</f>
        <v>5</v>
      </c>
      <c r="AC18" s="2">
        <f>SUMIFS(PERSALDATA!$H$2:$H$20871,PERSALDATA!$A$2:$A$20871,WORKING!A18,PERSALDATA!$D$2:$D$20871,WORKING!B18,PERSALDATA!$E$2:$E$20871,WORKING!C18)</f>
        <v>9676090.5800000001</v>
      </c>
    </row>
    <row r="19" spans="1:29" x14ac:dyDescent="0.25">
      <c r="A19" s="2">
        <f>Results!$D$3</f>
        <v>26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26</v>
      </c>
      <c r="B20" s="2">
        <v>2</v>
      </c>
      <c r="C20" s="2">
        <v>1</v>
      </c>
      <c r="D20" s="62" t="str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/>
      </c>
      <c r="E20" s="62" t="str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/>
      </c>
      <c r="F20" s="62" t="str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/>
      </c>
      <c r="G20" s="69" t="str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/>
      </c>
      <c r="H20" s="62" t="str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/>
      </c>
      <c r="I20" s="62" t="str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/>
      </c>
      <c r="J20" s="62" t="str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/>
      </c>
      <c r="K20" s="62" t="str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/>
      </c>
      <c r="L20" s="62" t="str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/>
      </c>
      <c r="M20" s="62" t="str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/>
      </c>
      <c r="N20" s="62" t="str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/>
      </c>
      <c r="O20" s="62" t="str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/>
      </c>
      <c r="P20" s="62" t="str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/>
      </c>
      <c r="Q20" s="62" t="str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/>
      </c>
      <c r="R20" s="62" t="str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/>
      </c>
      <c r="S20" s="62" t="str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/>
      </c>
      <c r="T20" s="62" t="str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/>
      </c>
      <c r="U20" s="62" t="str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/>
      </c>
      <c r="V20" s="62" t="str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/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0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26</v>
      </c>
      <c r="B21" s="2">
        <v>2</v>
      </c>
      <c r="C21" s="2">
        <v>2</v>
      </c>
      <c r="D21" s="62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>1</v>
      </c>
      <c r="E21" s="62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>0</v>
      </c>
      <c r="F21" s="62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>0</v>
      </c>
      <c r="G21" s="69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>0</v>
      </c>
      <c r="H21" s="62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>0</v>
      </c>
      <c r="I21" s="62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>0</v>
      </c>
      <c r="J21" s="62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>0</v>
      </c>
      <c r="K21" s="62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>0</v>
      </c>
      <c r="L21" s="62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>0</v>
      </c>
      <c r="M21" s="62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>0</v>
      </c>
      <c r="N21" s="62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>0</v>
      </c>
      <c r="O21" s="62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>0</v>
      </c>
      <c r="P21" s="62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>0</v>
      </c>
      <c r="Q21" s="62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>0</v>
      </c>
      <c r="R21" s="62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>0</v>
      </c>
      <c r="S21" s="62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>0</v>
      </c>
      <c r="T21" s="62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>0</v>
      </c>
      <c r="U21" s="62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>0</v>
      </c>
      <c r="V21" s="62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>0</v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7.5999999999999998E-2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7.0000000000000007E-2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6.9000000000000006E-2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6.7000000000000004E-2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1.4999999999999999E-2</v>
      </c>
      <c r="AB21" s="2">
        <f>SUMIFS(PERSALDATA!$G$2:$G$20871,PERSALDATA!$A$2:$A$20871,WORKING!A21,PERSALDATA!$D$2:$D$20871,WORKING!B21,PERSALDATA!$E$2:$E$20871,WORKING!C21,PERSALDATA!$F$2:$F$20871,"S&amp;W: BASIC SALARY (RES)")</f>
        <v>3</v>
      </c>
      <c r="AC21" s="2">
        <f>SUMIFS(PERSALDATA!$H$2:$H$20871,PERSALDATA!$A$2:$A$20871,WORKING!A21,PERSALDATA!$D$2:$D$20871,WORKING!B21,PERSALDATA!$E$2:$E$20871,WORKING!C21)</f>
        <v>233094.02000000002</v>
      </c>
    </row>
    <row r="22" spans="1:29" x14ac:dyDescent="0.25">
      <c r="A22" s="2">
        <f>Results!$D$3</f>
        <v>26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26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26</v>
      </c>
      <c r="B24" s="2">
        <v>2</v>
      </c>
      <c r="C24" s="2">
        <v>5</v>
      </c>
      <c r="D24" s="62" t="str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/>
      </c>
      <c r="E24" s="62" t="str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/>
      </c>
      <c r="F24" s="62" t="str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/>
      </c>
      <c r="G24" s="69" t="str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/>
      </c>
      <c r="H24" s="62" t="str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/>
      </c>
      <c r="I24" s="62" t="str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/>
      </c>
      <c r="J24" s="62" t="str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/>
      </c>
      <c r="K24" s="62" t="str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/>
      </c>
      <c r="L24" s="62" t="str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/>
      </c>
      <c r="M24" s="62" t="str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/>
      </c>
      <c r="N24" s="62" t="str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/>
      </c>
      <c r="O24" s="62" t="str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/>
      </c>
      <c r="P24" s="62" t="str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/>
      </c>
      <c r="Q24" s="62" t="str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/>
      </c>
      <c r="R24" s="62" t="str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/>
      </c>
      <c r="S24" s="62" t="str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/>
      </c>
      <c r="T24" s="62" t="str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/>
      </c>
      <c r="U24" s="62" t="str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/>
      </c>
      <c r="V24" s="62" t="str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/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7.3827684520804057E-2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7.0033119199051808E-2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6.9033119199051793E-2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6.7033119199051777E-2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0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0</v>
      </c>
    </row>
    <row r="25" spans="1:29" x14ac:dyDescent="0.25">
      <c r="A25" s="2">
        <f>Results!$D$3</f>
        <v>26</v>
      </c>
      <c r="B25" s="2">
        <v>2</v>
      </c>
      <c r="C25" s="2">
        <v>6</v>
      </c>
      <c r="D25" s="62" t="str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/>
      </c>
      <c r="E25" s="62" t="str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/>
      </c>
      <c r="F25" s="62" t="str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/>
      </c>
      <c r="G25" s="69" t="str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/>
      </c>
      <c r="H25" s="62" t="str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/>
      </c>
      <c r="I25" s="62" t="str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/>
      </c>
      <c r="J25" s="62" t="str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/>
      </c>
      <c r="K25" s="62" t="str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/>
      </c>
      <c r="L25" s="62" t="str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/>
      </c>
      <c r="M25" s="62" t="str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/>
      </c>
      <c r="N25" s="62" t="str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/>
      </c>
      <c r="O25" s="62" t="str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/>
      </c>
      <c r="P25" s="62" t="str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/>
      </c>
      <c r="Q25" s="62" t="str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/>
      </c>
      <c r="R25" s="62" t="str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/>
      </c>
      <c r="S25" s="62" t="str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/>
      </c>
      <c r="T25" s="62" t="str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/>
      </c>
      <c r="U25" s="62" t="str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/>
      </c>
      <c r="V25" s="62" t="str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/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7.3827684520804057E-2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7.0033119199051808E-2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6.9033119199051793E-2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6.7033119199051777E-2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0</v>
      </c>
      <c r="AB25" s="2">
        <f>SUMIFS(PERSALDATA!$G$2:$G$20871,PERSALDATA!$A$2:$A$20871,WORKING!A25,PERSALDATA!$D$2:$D$20871,WORKING!B25,PERSALDATA!$E$2:$E$20871,WORKING!C25,PERSALDATA!$F$2:$F$20871,"S&amp;W: BASIC SALARY (RES)")</f>
        <v>0</v>
      </c>
      <c r="AC25" s="2">
        <f>SUMIFS(PERSALDATA!$H$2:$H$20871,PERSALDATA!$A$2:$A$20871,WORKING!A25,PERSALDATA!$D$2:$D$20871,WORKING!B25,PERSALDATA!$E$2:$E$20871,WORKING!C25)</f>
        <v>0</v>
      </c>
    </row>
    <row r="26" spans="1:29" x14ac:dyDescent="0.25">
      <c r="A26" s="2">
        <f>Results!$D$3</f>
        <v>26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0.7217410731028856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6.0014189586887881E-2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4.0902036004316966E-2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3.0490638130161424E-2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3.1723392631589256E-2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9.3825677787483214E-2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1.6961141711276793E-2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2.4855647677411637E-4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0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0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4.0932945686248563E-3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7.3335572760514167E-2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7.0066830529430676E-2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6.9066830529430676E-2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6.7066830529430674E-2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1.3906890223309798E-2</v>
      </c>
      <c r="AB26" s="2">
        <f>SUMIFS(PERSALDATA!$G$2:$G$20871,PERSALDATA!$A$2:$A$20871,WORKING!A26,PERSALDATA!$D$2:$D$20871,WORKING!B26,PERSALDATA!$E$2:$E$20871,WORKING!C26,PERSALDATA!$F$2:$F$20871,"S&amp;W: BASIC SALARY (RES)")</f>
        <v>8</v>
      </c>
      <c r="AC26" s="2">
        <f>SUMIFS(PERSALDATA!$H$2:$H$20871,PERSALDATA!$A$2:$A$20871,WORKING!A26,PERSALDATA!$D$2:$D$20871,WORKING!B26,PERSALDATA!$E$2:$E$20871,WORKING!C26)</f>
        <v>2251721.65</v>
      </c>
    </row>
    <row r="27" spans="1:29" x14ac:dyDescent="0.25">
      <c r="A27" s="2">
        <f>Results!$D$3</f>
        <v>26</v>
      </c>
      <c r="B27" s="2">
        <v>2</v>
      </c>
      <c r="C27" s="2">
        <v>8</v>
      </c>
      <c r="D27" s="62" t="str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/>
      </c>
      <c r="E27" s="62" t="str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/>
      </c>
      <c r="F27" s="62" t="str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/>
      </c>
      <c r="G27" s="69" t="str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/>
      </c>
      <c r="H27" s="62" t="str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/>
      </c>
      <c r="I27" s="62" t="str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/>
      </c>
      <c r="J27" s="62" t="str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/>
      </c>
      <c r="K27" s="62" t="str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/>
      </c>
      <c r="L27" s="62" t="str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/>
      </c>
      <c r="M27" s="62" t="str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/>
      </c>
      <c r="N27" s="62" t="str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/>
      </c>
      <c r="O27" s="62" t="str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/>
      </c>
      <c r="P27" s="62" t="str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/>
      </c>
      <c r="Q27" s="62" t="str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/>
      </c>
      <c r="R27" s="62" t="str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/>
      </c>
      <c r="S27" s="62" t="str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/>
      </c>
      <c r="T27" s="62" t="str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/>
      </c>
      <c r="U27" s="62" t="str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/>
      </c>
      <c r="V27" s="62" t="str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/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7.3827684520804057E-2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7.0033119199051808E-2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6.9033119199051793E-2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6.7033119199051777E-2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0</v>
      </c>
      <c r="AB27" s="2">
        <f>SUMIFS(PERSALDATA!$G$2:$G$20871,PERSALDATA!$A$2:$A$20871,WORKING!A27,PERSALDATA!$D$2:$D$20871,WORKING!B27,PERSALDATA!$E$2:$E$20871,WORKING!C27,PERSALDATA!$F$2:$F$20871,"S&amp;W: BASIC SALARY (RES)")</f>
        <v>0</v>
      </c>
      <c r="AC27" s="2">
        <f>SUMIFS(PERSALDATA!$H$2:$H$20871,PERSALDATA!$A$2:$A$20871,WORKING!A27,PERSALDATA!$D$2:$D$20871,WORKING!B27,PERSALDATA!$E$2:$E$20871,WORKING!C27)</f>
        <v>0</v>
      </c>
    </row>
    <row r="28" spans="1:29" x14ac:dyDescent="0.25">
      <c r="A28" s="2">
        <f>Results!$D$3</f>
        <v>26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0.74941147567323541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6.2682458429914614E-2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3.3515052777022512E-2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0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5.6794360176292157E-2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9.7422970492255179E-2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0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1.7368245128003668E-4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0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7.4247977031414378E-2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7.0516764874874141E-2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6.9516764874874154E-2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6.7516764874874166E-2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1.3642753568931078E-2</v>
      </c>
      <c r="AB28" s="2">
        <f>SUMIFS(PERSALDATA!$G$2:$G$20871,PERSALDATA!$A$2:$A$20871,WORKING!A28,PERSALDATA!$D$2:$D$20871,WORKING!B28,PERSALDATA!$E$2:$E$20871,WORKING!C28,PERSALDATA!$F$2:$F$20871,"S&amp;W: BASIC SALARY (RES)")</f>
        <v>1</v>
      </c>
      <c r="AC28" s="2">
        <f>SUMIFS(PERSALDATA!$H$2:$H$20871,PERSALDATA!$A$2:$A$20871,WORKING!A28,PERSALDATA!$D$2:$D$20871,WORKING!B28,PERSALDATA!$E$2:$E$20871,WORKING!C28)</f>
        <v>402804.08</v>
      </c>
    </row>
    <row r="29" spans="1:29" x14ac:dyDescent="0.25">
      <c r="A29" s="2">
        <f>Results!$D$3</f>
        <v>26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0.75870635469501335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6.258011934473233E-2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2.7054076914346907E-2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0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3.0260398024852336E-2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9.8631443098848803E-2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1.2046967728651279E-2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1.4381205026083561E-4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1.0576828143294192E-2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7.4367535726857559E-2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7.0183365201229322E-2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6.9183365201229335E-2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6.7183365201229334E-2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1.4138125695158099E-2</v>
      </c>
      <c r="AB29" s="2">
        <f>SUMIFS(PERSALDATA!$G$2:$G$20871,PERSALDATA!$A$2:$A$20871,WORKING!A29,PERSALDATA!$D$2:$D$20871,WORKING!B29,PERSALDATA!$E$2:$E$20871,WORKING!C29,PERSALDATA!$F$2:$F$20871,"S&amp;W: BASIC SALARY (RES)")</f>
        <v>19</v>
      </c>
      <c r="AC29" s="2">
        <f>SUMIFS(PERSALDATA!$H$2:$H$20871,PERSALDATA!$A$2:$A$20871,WORKING!A29,PERSALDATA!$D$2:$D$20871,WORKING!B29,PERSALDATA!$E$2:$E$20871,WORKING!C29)</f>
        <v>8837854.6699999999</v>
      </c>
    </row>
    <row r="30" spans="1:29" x14ac:dyDescent="0.25">
      <c r="A30" s="2">
        <f>Results!$D$3</f>
        <v>26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0.6907946948882866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4.006189775857303E-2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6.1367023934475531E-2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0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1.816275750999187E-2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8.9802924890806379E-2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1.2874680334863201E-2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1.1984759632591839E-4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8.6816173086677426E-2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0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1.3805255564388099E-2</v>
      </c>
      <c r="AB30" s="2">
        <f>SUMIFS(PERSALDATA!$G$2:$G$20871,PERSALDATA!$A$2:$A$20871,WORKING!A30,PERSALDATA!$D$2:$D$20871,WORKING!B30,PERSALDATA!$E$2:$E$20871,WORKING!C30,PERSALDATA!$F$2:$F$20871,"S&amp;W: BASIC SALARY (RES)")</f>
        <v>4</v>
      </c>
      <c r="AC30" s="2">
        <f>SUMIFS(PERSALDATA!$H$2:$H$20871,PERSALDATA!$A$2:$A$20871,WORKING!A30,PERSALDATA!$D$2:$D$20871,WORKING!B30,PERSALDATA!$E$2:$E$20871,WORKING!C30)</f>
        <v>1653933.8800000004</v>
      </c>
    </row>
    <row r="31" spans="1:29" x14ac:dyDescent="0.25">
      <c r="A31" s="2">
        <f>Results!$D$3</f>
        <v>26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0.68335392699613673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3.5490649504879901E-2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4.6912670669308112E-2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0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2.0501781239271603E-2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8.8835729334379915E-2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2.51348274295683E-2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9.4775873252784984E-5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9.8260041290283956E-2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0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1.4155976629187039E-3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1.398736158327251E-2</v>
      </c>
      <c r="AB31" s="2">
        <f>SUMIFS(PERSALDATA!$G$2:$G$20871,PERSALDATA!$A$2:$A$20871,WORKING!A31,PERSALDATA!$D$2:$D$20871,WORKING!B31,PERSALDATA!$E$2:$E$20871,WORKING!C31,PERSALDATA!$F$2:$F$20871,"S&amp;W: BASIC SALARY (RES)")</f>
        <v>8</v>
      </c>
      <c r="AC31" s="2">
        <f>SUMIFS(PERSALDATA!$H$2:$H$20871,PERSALDATA!$A$2:$A$20871,WORKING!A31,PERSALDATA!$D$2:$D$20871,WORKING!B31,PERSALDATA!$E$2:$E$20871,WORKING!C31)</f>
        <v>6274381.6499999994</v>
      </c>
    </row>
    <row r="32" spans="1:29" x14ac:dyDescent="0.25">
      <c r="A32" s="2">
        <f>Results!$D$3</f>
        <v>26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0.65392118366245544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3.5719058711197238E-2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1.4801726760905985E-2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1.0697021433071012E-2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8.5009555157429084E-2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0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7.9567396321646473E-5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0.19977188687861966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0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1.4616325266145522E-2</v>
      </c>
      <c r="AB32" s="2">
        <f>SUMIFS(PERSALDATA!$G$2:$G$20871,PERSALDATA!$A$2:$A$20871,WORKING!A32,PERSALDATA!$D$2:$D$20871,WORKING!B32,PERSALDATA!$E$2:$E$20871,WORKING!C32,PERSALDATA!$F$2:$F$20871,"S&amp;W: BASIC SALARY (RES)")</f>
        <v>9</v>
      </c>
      <c r="AC32" s="2">
        <f>SUMIFS(PERSALDATA!$H$2:$H$20871,PERSALDATA!$A$2:$A$20871,WORKING!A32,PERSALDATA!$D$2:$D$20871,WORKING!B32,PERSALDATA!$E$2:$E$20871,WORKING!C32)</f>
        <v>8133105.1399999987</v>
      </c>
    </row>
    <row r="33" spans="1:29" x14ac:dyDescent="0.25">
      <c r="A33" s="2">
        <f>Results!$D$3</f>
        <v>26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0.63413221969420663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3.315415141372198E-2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3.6100908825798764E-2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1.7937078539114412E-3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8.2437005156439092E-2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5.9192359179077551E-5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0.21232281469674305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1.443069286441666E-2</v>
      </c>
      <c r="AB33" s="2">
        <f>SUMIFS(PERSALDATA!$G$2:$G$20871,PERSALDATA!$A$2:$A$20871,WORKING!A33,PERSALDATA!$D$2:$D$20871,WORKING!B33,PERSALDATA!$E$2:$E$20871,WORKING!C33,PERSALDATA!$F$2:$F$20871,"S&amp;W: BASIC SALARY (RES)")</f>
        <v>3</v>
      </c>
      <c r="AC33" s="2">
        <f>SUMIFS(PERSALDATA!$H$2:$H$20871,PERSALDATA!$A$2:$A$20871,WORKING!A33,PERSALDATA!$D$2:$D$20871,WORKING!B33,PERSALDATA!$E$2:$E$20871,WORKING!C33)</f>
        <v>3545727.91</v>
      </c>
    </row>
    <row r="34" spans="1:29" x14ac:dyDescent="0.25">
      <c r="A34" s="2">
        <f>Results!$D$3</f>
        <v>26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0.6671758054483935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0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0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0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8.6732230214251416E-2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0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0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0.24609196433735514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1.4999999999999999E-2</v>
      </c>
      <c r="AB34" s="2">
        <f>SUMIFS(PERSALDATA!$G$2:$G$20871,PERSALDATA!$A$2:$A$20871,WORKING!A34,PERSALDATA!$D$2:$D$20871,WORKING!B34,PERSALDATA!$E$2:$E$20871,WORKING!C34,PERSALDATA!$F$2:$F$20871,"S&amp;W: BASIC SALARY (RES)")</f>
        <v>0</v>
      </c>
      <c r="AC34" s="2">
        <f>SUMIFS(PERSALDATA!$H$2:$H$20871,PERSALDATA!$A$2:$A$20871,WORKING!A34,PERSALDATA!$D$2:$D$20871,WORKING!B34,PERSALDATA!$E$2:$E$20871,WORKING!C34)</f>
        <v>52042.13</v>
      </c>
    </row>
    <row r="35" spans="1:29" x14ac:dyDescent="0.25">
      <c r="A35" s="2">
        <f>Results!$D$3</f>
        <v>26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26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26</v>
      </c>
      <c r="B37" s="2">
        <v>3</v>
      </c>
      <c r="C37" s="2">
        <v>1</v>
      </c>
      <c r="D37" s="62" t="str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/>
      </c>
      <c r="E37" s="62" t="str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/>
      </c>
      <c r="F37" s="62" t="str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/>
      </c>
      <c r="G37" s="69" t="str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/>
      </c>
      <c r="H37" s="62" t="str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/>
      </c>
      <c r="I37" s="62" t="str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/>
      </c>
      <c r="J37" s="62" t="str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/>
      </c>
      <c r="K37" s="62" t="str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/>
      </c>
      <c r="L37" s="62" t="str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/>
      </c>
      <c r="M37" s="62" t="str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/>
      </c>
      <c r="N37" s="62" t="str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/>
      </c>
      <c r="O37" s="62" t="str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/>
      </c>
      <c r="P37" s="62" t="str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/>
      </c>
      <c r="Q37" s="62" t="str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/>
      </c>
      <c r="R37" s="62" t="str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/>
      </c>
      <c r="S37" s="62" t="str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/>
      </c>
      <c r="T37" s="62" t="str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/>
      </c>
      <c r="U37" s="62" t="str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/>
      </c>
      <c r="V37" s="62" t="str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/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0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26</v>
      </c>
      <c r="B38" s="2">
        <v>3</v>
      </c>
      <c r="C38" s="2">
        <v>2</v>
      </c>
      <c r="D38" s="62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>0.98675273054278889</v>
      </c>
      <c r="E38" s="62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>0</v>
      </c>
      <c r="F38" s="62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>0</v>
      </c>
      <c r="G38" s="69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>1.3247269457211087E-2</v>
      </c>
      <c r="H38" s="62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>0</v>
      </c>
      <c r="I38" s="62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>0</v>
      </c>
      <c r="J38" s="62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>0</v>
      </c>
      <c r="K38" s="62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>0</v>
      </c>
      <c r="L38" s="62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>0</v>
      </c>
      <c r="M38" s="62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>0</v>
      </c>
      <c r="N38" s="62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>0</v>
      </c>
      <c r="O38" s="62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>0</v>
      </c>
      <c r="P38" s="62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>0</v>
      </c>
      <c r="Q38" s="62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>0</v>
      </c>
      <c r="R38" s="62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>0</v>
      </c>
      <c r="S38" s="62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>0</v>
      </c>
      <c r="T38" s="62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>0</v>
      </c>
      <c r="U38" s="62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>0</v>
      </c>
      <c r="V38" s="62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>0</v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7.5999999999999998E-2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7.0000000000000007E-2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6.9000000000000006E-2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6.7000000000000004E-2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1.4999999999999999E-2</v>
      </c>
      <c r="AB38" s="2">
        <f>SUMIFS(PERSALDATA!$G$2:$G$20871,PERSALDATA!$A$2:$A$20871,WORKING!A38,PERSALDATA!$D$2:$D$20871,WORKING!B38,PERSALDATA!$E$2:$E$20871,WORKING!C38,PERSALDATA!$F$2:$F$20871,"S&amp;W: BASIC SALARY (RES)")</f>
        <v>3</v>
      </c>
      <c r="AC38" s="2">
        <f>SUMIFS(PERSALDATA!$H$2:$H$20871,PERSALDATA!$A$2:$A$20871,WORKING!A38,PERSALDATA!$D$2:$D$20871,WORKING!B38,PERSALDATA!$E$2:$E$20871,WORKING!C38)</f>
        <v>237615.76</v>
      </c>
    </row>
    <row r="39" spans="1:29" x14ac:dyDescent="0.25">
      <c r="A39" s="2">
        <f>Results!$D$3</f>
        <v>26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26</v>
      </c>
      <c r="B40" s="2">
        <v>3</v>
      </c>
      <c r="C40" s="2">
        <v>4</v>
      </c>
      <c r="D40" s="62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>0.88496645432627508</v>
      </c>
      <c r="E40" s="62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>0</v>
      </c>
      <c r="F40" s="62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>0</v>
      </c>
      <c r="G40" s="69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>0</v>
      </c>
      <c r="H40" s="62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>0</v>
      </c>
      <c r="I40" s="62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>0.11503354567372499</v>
      </c>
      <c r="J40" s="62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>0</v>
      </c>
      <c r="K40" s="62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>0</v>
      </c>
      <c r="L40" s="62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>0</v>
      </c>
      <c r="M40" s="62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>0</v>
      </c>
      <c r="N40" s="62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>0</v>
      </c>
      <c r="O40" s="62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>0</v>
      </c>
      <c r="P40" s="62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>0</v>
      </c>
      <c r="Q40" s="62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>0</v>
      </c>
      <c r="R40" s="62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>0</v>
      </c>
      <c r="S40" s="62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>0</v>
      </c>
      <c r="T40" s="62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>0</v>
      </c>
      <c r="U40" s="62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>0</v>
      </c>
      <c r="V40" s="62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>0</v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7.6000000000000012E-2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7.0000000000000007E-2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6.9000000000000006E-2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6.7000000000000018E-2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1.5000000000000001E-2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1298.23</v>
      </c>
    </row>
    <row r="41" spans="1:29" x14ac:dyDescent="0.25">
      <c r="A41" s="2">
        <f>Results!$D$3</f>
        <v>26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0.68429623226431902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4.9670883116442278E-2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5.869578968118503E-2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2.1499850367935905E-2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7.0729424010619935E-2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8.8964551640739839E-2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6.1634921886415455E-3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3.5514558903672523E-4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0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1.9624631141079603E-2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0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7.2529331920378609E-2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7.0473983463347448E-2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6.9473983463347447E-2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6.7473983463347431E-2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1.3053294610787374E-2</v>
      </c>
      <c r="AB41" s="2">
        <f>SUMIFS(PERSALDATA!$G$2:$G$20871,PERSALDATA!$A$2:$A$20871,WORKING!A41,PERSALDATA!$D$2:$D$20871,WORKING!B41,PERSALDATA!$E$2:$E$20871,WORKING!C41,PERSALDATA!$F$2:$F$20871,"S&amp;W: BASIC SALARY (RES)")</f>
        <v>31</v>
      </c>
      <c r="AC41" s="2">
        <f>SUMIFS(PERSALDATA!$H$2:$H$20871,PERSALDATA!$A$2:$A$20871,WORKING!A41,PERSALDATA!$D$2:$D$20871,WORKING!B41,PERSALDATA!$E$2:$E$20871,WORKING!C41)</f>
        <v>6516651.4000000004</v>
      </c>
    </row>
    <row r="42" spans="1:29" x14ac:dyDescent="0.25">
      <c r="A42" s="2">
        <f>Results!$D$3</f>
        <v>26</v>
      </c>
      <c r="B42" s="2">
        <v>3</v>
      </c>
      <c r="C42" s="2">
        <v>6</v>
      </c>
      <c r="D42" s="62" t="str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/>
      </c>
      <c r="E42" s="62" t="str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/>
      </c>
      <c r="F42" s="62" t="str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/>
      </c>
      <c r="G42" s="69" t="str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/>
      </c>
      <c r="H42" s="62" t="str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/>
      </c>
      <c r="I42" s="62" t="str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/>
      </c>
      <c r="J42" s="62" t="str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/>
      </c>
      <c r="K42" s="62" t="str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/>
      </c>
      <c r="L42" s="62" t="str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/>
      </c>
      <c r="M42" s="62" t="str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/>
      </c>
      <c r="N42" s="62" t="str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/>
      </c>
      <c r="O42" s="62" t="str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/>
      </c>
      <c r="P42" s="62" t="str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/>
      </c>
      <c r="Q42" s="62" t="str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/>
      </c>
      <c r="R42" s="62" t="str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/>
      </c>
      <c r="S42" s="62" t="str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/>
      </c>
      <c r="T42" s="62" t="str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/>
      </c>
      <c r="U42" s="62" t="str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/>
      </c>
      <c r="V42" s="62" t="str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/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7.3827684520804057E-2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7.0033119199051808E-2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6.9033119199051793E-2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6.7033119199051777E-2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0</v>
      </c>
      <c r="AB42" s="2">
        <f>SUMIFS(PERSALDATA!$G$2:$G$20871,PERSALDATA!$A$2:$A$20871,WORKING!A42,PERSALDATA!$D$2:$D$20871,WORKING!B42,PERSALDATA!$E$2:$E$20871,WORKING!C42,PERSALDATA!$F$2:$F$20871,"S&amp;W: BASIC SALARY (RES)")</f>
        <v>0</v>
      </c>
      <c r="AC42" s="2">
        <f>SUMIFS(PERSALDATA!$H$2:$H$20871,PERSALDATA!$A$2:$A$20871,WORKING!A42,PERSALDATA!$D$2:$D$20871,WORKING!B42,PERSALDATA!$E$2:$E$20871,WORKING!C42)</f>
        <v>0</v>
      </c>
    </row>
    <row r="43" spans="1:29" x14ac:dyDescent="0.25">
      <c r="A43" s="2">
        <f>Results!$D$3</f>
        <v>26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0.7036024754091762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5.4637173172808071E-2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4.0403164073682662E-2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1.8432952732540624E-2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6.0012780867568644E-2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9.1467637535410998E-2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2.2768790888792564E-2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2.3882161780562421E-4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6.5575026600477948E-3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1.8787010421668442E-3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7.376953846254608E-2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7.0496160072276701E-2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6.9496160072276714E-2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6.7496160072276712E-2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1.3490178501614146E-2</v>
      </c>
      <c r="AB43" s="2">
        <f>SUMIFS(PERSALDATA!$G$2:$G$20871,PERSALDATA!$A$2:$A$20871,WORKING!A43,PERSALDATA!$D$2:$D$20871,WORKING!B43,PERSALDATA!$E$2:$E$20871,WORKING!C43,PERSALDATA!$F$2:$F$20871,"S&amp;W: BASIC SALARY (RES)")</f>
        <v>13</v>
      </c>
      <c r="AC43" s="2">
        <f>SUMIFS(PERSALDATA!$H$2:$H$20871,PERSALDATA!$A$2:$A$20871,WORKING!A43,PERSALDATA!$D$2:$D$20871,WORKING!B43,PERSALDATA!$E$2:$E$20871,WORKING!C43)</f>
        <v>3905634.71</v>
      </c>
    </row>
    <row r="44" spans="1:29" x14ac:dyDescent="0.25">
      <c r="A44" s="2">
        <f>Results!$D$3</f>
        <v>26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0.73134422934626275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6.1414365556715568E-2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3.8724858981065931E-2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9.3901858703643749E-3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4.8425339825327963E-2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9.5095367045532245E-2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1.5404878948836246E-2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2.0077442589505506E-4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0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0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0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7.3734865474993583E-2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7.0339131507569264E-2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6.9339131507569277E-2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6.7339131507569289E-2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1.3689735401515666E-2</v>
      </c>
      <c r="AB44" s="2">
        <f>SUMIFS(PERSALDATA!$G$2:$G$20871,PERSALDATA!$A$2:$A$20871,WORKING!A44,PERSALDATA!$D$2:$D$20871,WORKING!B44,PERSALDATA!$E$2:$E$20871,WORKING!C44,PERSALDATA!$F$2:$F$20871,"S&amp;W: BASIC SALARY (RES)")</f>
        <v>11</v>
      </c>
      <c r="AC44" s="2">
        <f>SUMIFS(PERSALDATA!$H$2:$H$20871,PERSALDATA!$A$2:$A$20871,WORKING!A44,PERSALDATA!$D$2:$D$20871,WORKING!B44,PERSALDATA!$E$2:$E$20871,WORKING!C44)</f>
        <v>4152371.4799999995</v>
      </c>
    </row>
    <row r="45" spans="1:29" x14ac:dyDescent="0.25">
      <c r="A45" s="2">
        <f>Results!$D$3</f>
        <v>26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0.70741729157023259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6.1981224806332703E-2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3.0757755806454234E-2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4.0322176759834218E-2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2.5055279871265417E-2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9.1963783240177996E-2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4.2345191703289028E-2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1.5729624241370895E-4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0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0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0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7.4013184476907176E-2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7.0068251640004436E-2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6.9068251640004449E-2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6.7068251640004434E-2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1.4160445021197997E-2</v>
      </c>
      <c r="AB45" s="2">
        <f>SUMIFS(PERSALDATA!$G$2:$G$20871,PERSALDATA!$A$2:$A$20871,WORKING!A45,PERSALDATA!$D$2:$D$20871,WORKING!B45,PERSALDATA!$E$2:$E$20871,WORKING!C45,PERSALDATA!$F$2:$F$20871,"S&amp;W: BASIC SALARY (RES)")</f>
        <v>4</v>
      </c>
      <c r="AC45" s="2">
        <f>SUMIFS(PERSALDATA!$H$2:$H$20871,PERSALDATA!$A$2:$A$20871,WORKING!A45,PERSALDATA!$D$2:$D$20871,WORKING!B45,PERSALDATA!$E$2:$E$20871,WORKING!C45)</f>
        <v>1667872.0100000002</v>
      </c>
    </row>
    <row r="46" spans="1:29" x14ac:dyDescent="0.25">
      <c r="A46" s="2">
        <f>Results!$D$3</f>
        <v>26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0.73051855259801768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5.9497764960598623E-2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2.3887650810155755E-2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6.6002047946391923E-3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3.5519372116740826E-2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9.4967049658894548E-2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3.1640739132312148E-2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1.3700907500469283E-4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1.0241401117964228E-2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0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6.9902557356721637E-3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7.468180974806253E-2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7.0293914073649544E-2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6.9293914073649543E-2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6.7293914073649555E-2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1.4106839519971477E-2</v>
      </c>
      <c r="AB46" s="2">
        <f>SUMIFS(PERSALDATA!$G$2:$G$20871,PERSALDATA!$A$2:$A$20871,WORKING!A46,PERSALDATA!$D$2:$D$20871,WORKING!B46,PERSALDATA!$E$2:$E$20871,WORKING!C46,PERSALDATA!$F$2:$F$20871,"S&amp;W: BASIC SALARY (RES)")</f>
        <v>33</v>
      </c>
      <c r="AC46" s="2">
        <f>SUMIFS(PERSALDATA!$H$2:$H$20871,PERSALDATA!$A$2:$A$20871,WORKING!A46,PERSALDATA!$D$2:$D$20871,WORKING!B46,PERSALDATA!$E$2:$E$20871,WORKING!C46)</f>
        <v>15786399.550000003</v>
      </c>
    </row>
    <row r="47" spans="1:29" x14ac:dyDescent="0.25">
      <c r="A47" s="2">
        <f>Results!$D$3</f>
        <v>26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0.63537970456565118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4.1643050785121753E-2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9.2646008212307812E-2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4.7887286263303217E-3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2.828003009244575E-2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8.2599027722600429E-2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1.6493007250675856E-2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1.0838798402876718E-4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2.3406394446722743E-2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7.465566031411551E-2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1.3184483605668266E-2</v>
      </c>
      <c r="AB47" s="2">
        <f>SUMIFS(PERSALDATA!$G$2:$G$20871,PERSALDATA!$A$2:$A$20871,WORKING!A47,PERSALDATA!$D$2:$D$20871,WORKING!B47,PERSALDATA!$E$2:$E$20871,WORKING!C47,PERSALDATA!$F$2:$F$20871,"S&amp;W: BASIC SALARY (RES)")</f>
        <v>5</v>
      </c>
      <c r="AC47" s="2">
        <f>SUMIFS(PERSALDATA!$H$2:$H$20871,PERSALDATA!$A$2:$A$20871,WORKING!A47,PERSALDATA!$D$2:$D$20871,WORKING!B47,PERSALDATA!$E$2:$E$20871,WORKING!C47)</f>
        <v>3227295.01</v>
      </c>
    </row>
    <row r="48" spans="1:29" x14ac:dyDescent="0.25">
      <c r="A48" s="2">
        <f>Results!$D$3</f>
        <v>26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0.68006168839476289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5.8270085609942943E-2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6.4135829101518521E-2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3.6761107822731007E-3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2.0504995565262227E-2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8.8407766075728936E-2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2.2116786034829184E-2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9.8112643566435534E-5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6.2728625792115647E-2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0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1.3728915940344789E-2</v>
      </c>
      <c r="AB48" s="2">
        <f>SUMIFS(PERSALDATA!$G$2:$G$20871,PERSALDATA!$A$2:$A$20871,WORKING!A48,PERSALDATA!$D$2:$D$20871,WORKING!B48,PERSALDATA!$E$2:$E$20871,WORKING!C48,PERSALDATA!$F$2:$F$20871,"S&amp;W: BASIC SALARY (RES)")</f>
        <v>4</v>
      </c>
      <c r="AC48" s="2">
        <f>SUMIFS(PERSALDATA!$H$2:$H$20871,PERSALDATA!$A$2:$A$20871,WORKING!A48,PERSALDATA!$D$2:$D$20871,WORKING!B48,PERSALDATA!$E$2:$E$20871,WORKING!C48)</f>
        <v>2852231.7800000007</v>
      </c>
    </row>
    <row r="49" spans="1:29" x14ac:dyDescent="0.25">
      <c r="A49" s="2">
        <f>Results!$D$3</f>
        <v>26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0.62935727817817189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2.8689022739467291E-2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4.0268256049696451E-2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1.4876335621326094E-2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8.1816227564824609E-2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0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7.7195269522970682E-5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0.20444316115005151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4.7252342693911354E-4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1.4171673195891816E-2</v>
      </c>
      <c r="AB49" s="2">
        <f>SUMIFS(PERSALDATA!$G$2:$G$20871,PERSALDATA!$A$2:$A$20871,WORKING!A49,PERSALDATA!$D$2:$D$20871,WORKING!B49,PERSALDATA!$E$2:$E$20871,WORKING!C49,PERSALDATA!$F$2:$F$20871,"S&amp;W: BASIC SALARY (RES)")</f>
        <v>13</v>
      </c>
      <c r="AC49" s="2">
        <f>SUMIFS(PERSALDATA!$H$2:$H$20871,PERSALDATA!$A$2:$A$20871,WORKING!A49,PERSALDATA!$D$2:$D$20871,WORKING!B49,PERSALDATA!$E$2:$E$20871,WORKING!C49)</f>
        <v>11554982.65</v>
      </c>
    </row>
    <row r="50" spans="1:29" x14ac:dyDescent="0.25">
      <c r="A50" s="2">
        <f>Results!$D$3</f>
        <v>26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0.65182374411438115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5.850297807309858E-2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7.7120197404289811E-2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2.0544105337099581E-2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8.4736932165912923E-2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0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6.5907627577198397E-5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0.10720613527764089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0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1.3534046844465502E-2</v>
      </c>
      <c r="AB50" s="2">
        <f>SUMIFS(PERSALDATA!$G$2:$G$20871,PERSALDATA!$A$2:$A$20871,WORKING!A50,PERSALDATA!$D$2:$D$20871,WORKING!B50,PERSALDATA!$E$2:$E$20871,WORKING!C50,PERSALDATA!$F$2:$F$20871,"S&amp;W: BASIC SALARY (RES)")</f>
        <v>2</v>
      </c>
      <c r="AC50" s="2">
        <f>SUMIFS(PERSALDATA!$H$2:$H$20871,PERSALDATA!$A$2:$A$20871,WORKING!A50,PERSALDATA!$D$2:$D$20871,WORKING!B50,PERSALDATA!$E$2:$E$20871,WORKING!C50)</f>
        <v>1946057</v>
      </c>
    </row>
    <row r="51" spans="1:29" x14ac:dyDescent="0.25">
      <c r="A51" s="2">
        <f>Results!$D$3</f>
        <v>26</v>
      </c>
      <c r="B51" s="2">
        <v>3</v>
      </c>
      <c r="C51" s="2">
        <v>15</v>
      </c>
      <c r="D51" s="62" t="str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/>
      </c>
      <c r="E51" s="62" t="str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/>
      </c>
      <c r="F51" s="62" t="str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/>
      </c>
      <c r="G51" s="69" t="str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/>
      </c>
      <c r="H51" s="62" t="str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/>
      </c>
      <c r="I51" s="62" t="str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/>
      </c>
      <c r="J51" s="62" t="str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/>
      </c>
      <c r="K51" s="62" t="str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/>
      </c>
      <c r="L51" s="62" t="str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/>
      </c>
      <c r="M51" s="62" t="str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/>
      </c>
      <c r="N51" s="62" t="str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/>
      </c>
      <c r="O51" s="62" t="str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/>
      </c>
      <c r="P51" s="62" t="str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/>
      </c>
      <c r="Q51" s="62" t="str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/>
      </c>
      <c r="R51" s="62" t="str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/>
      </c>
      <c r="S51" s="62" t="str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/>
      </c>
      <c r="T51" s="62" t="str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/>
      </c>
      <c r="U51" s="62" t="str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/>
      </c>
      <c r="V51" s="62" t="str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/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0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26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26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26</v>
      </c>
      <c r="B54" s="2">
        <v>4</v>
      </c>
      <c r="C54" s="2">
        <v>1</v>
      </c>
      <c r="D54" s="62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>1</v>
      </c>
      <c r="E54" s="62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>0</v>
      </c>
      <c r="F54" s="62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>0</v>
      </c>
      <c r="G54" s="69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>0</v>
      </c>
      <c r="H54" s="62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>0</v>
      </c>
      <c r="I54" s="62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>0</v>
      </c>
      <c r="J54" s="62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>0</v>
      </c>
      <c r="K54" s="62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>0</v>
      </c>
      <c r="L54" s="62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>0</v>
      </c>
      <c r="M54" s="62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>0</v>
      </c>
      <c r="N54" s="62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>0</v>
      </c>
      <c r="O54" s="62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>0</v>
      </c>
      <c r="P54" s="62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>0</v>
      </c>
      <c r="Q54" s="62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>0</v>
      </c>
      <c r="R54" s="62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>0</v>
      </c>
      <c r="S54" s="62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>0</v>
      </c>
      <c r="T54" s="62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>0</v>
      </c>
      <c r="U54" s="62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>0</v>
      </c>
      <c r="V54" s="62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>0</v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7.5999999999999998E-2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7.0000000000000007E-2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6.9000000000000006E-2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6.7000000000000004E-2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1.4999999999999999E-2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233.44</v>
      </c>
    </row>
    <row r="55" spans="1:29" x14ac:dyDescent="0.25">
      <c r="A55" s="2">
        <f>Results!$D$3</f>
        <v>26</v>
      </c>
      <c r="B55" s="2">
        <v>4</v>
      </c>
      <c r="C55" s="2">
        <v>2</v>
      </c>
      <c r="D55" s="62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>0.998238044558174</v>
      </c>
      <c r="E55" s="62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>0</v>
      </c>
      <c r="F55" s="62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>0</v>
      </c>
      <c r="G55" s="69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>1.7619554418259735E-3</v>
      </c>
      <c r="H55" s="62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>0</v>
      </c>
      <c r="I55" s="62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>0</v>
      </c>
      <c r="J55" s="62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>0</v>
      </c>
      <c r="K55" s="62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>0</v>
      </c>
      <c r="L55" s="62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>0</v>
      </c>
      <c r="M55" s="62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>0</v>
      </c>
      <c r="N55" s="62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>0</v>
      </c>
      <c r="O55" s="62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>0</v>
      </c>
      <c r="P55" s="62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>0</v>
      </c>
      <c r="Q55" s="62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>0</v>
      </c>
      <c r="R55" s="62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>0</v>
      </c>
      <c r="S55" s="62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>0</v>
      </c>
      <c r="T55" s="62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>0</v>
      </c>
      <c r="U55" s="62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>0</v>
      </c>
      <c r="V55" s="62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>0</v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7.5999999999999998E-2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7.0000000000000007E-2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6.9000000000000006E-2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6.7000000000000004E-2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1.4999999999999999E-2</v>
      </c>
      <c r="AB55" s="2">
        <f>SUMIFS(PERSALDATA!$G$2:$G$20871,PERSALDATA!$A$2:$A$20871,WORKING!A55,PERSALDATA!$D$2:$D$20871,WORKING!B55,PERSALDATA!$E$2:$E$20871,WORKING!C55,PERSALDATA!$F$2:$F$20871,"S&amp;W: BASIC SALARY (RES)")</f>
        <v>11</v>
      </c>
      <c r="AC55" s="2">
        <f>SUMIFS(PERSALDATA!$H$2:$H$20871,PERSALDATA!$A$2:$A$20871,WORKING!A55,PERSALDATA!$D$2:$D$20871,WORKING!B55,PERSALDATA!$E$2:$E$20871,WORKING!C55)</f>
        <v>957061.66000000015</v>
      </c>
    </row>
    <row r="56" spans="1:29" x14ac:dyDescent="0.25">
      <c r="A56" s="2">
        <f>Results!$D$3</f>
        <v>26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26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26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0.79054096657220441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4.6927061257595375E-2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4.4781737394478299E-2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0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1.4563021000684344E-2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0.10276948972862188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0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4.1772404641569373E-4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0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0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0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0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0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7.2800470252029237E-2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6.9770627941065491E-2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6.877062794106549E-2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6.6770627941065488E-2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1.4103562763376324E-2</v>
      </c>
      <c r="AB58" s="2">
        <f>SUMIFS(PERSALDATA!$G$2:$G$20871,PERSALDATA!$A$2:$A$20871,WORKING!A58,PERSALDATA!$D$2:$D$20871,WORKING!B58,PERSALDATA!$E$2:$E$20871,WORKING!C58,PERSALDATA!$F$2:$F$20871,"S&amp;W: BASIC SALARY (RES)")</f>
        <v>3</v>
      </c>
      <c r="AC58" s="2">
        <f>SUMIFS(PERSALDATA!$H$2:$H$20871,PERSALDATA!$A$2:$A$20871,WORKING!A58,PERSALDATA!$D$2:$D$20871,WORKING!B58,PERSALDATA!$E$2:$E$20871,WORKING!C58)</f>
        <v>502436.96</v>
      </c>
    </row>
    <row r="59" spans="1:29" x14ac:dyDescent="0.25">
      <c r="A59" s="2">
        <f>Results!$D$3</f>
        <v>26</v>
      </c>
      <c r="B59" s="2">
        <v>4</v>
      </c>
      <c r="C59" s="2">
        <v>6</v>
      </c>
      <c r="D59" s="62" t="str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/>
      </c>
      <c r="E59" s="62" t="str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/>
      </c>
      <c r="F59" s="62" t="str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/>
      </c>
      <c r="G59" s="69" t="str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/>
      </c>
      <c r="H59" s="62" t="str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/>
      </c>
      <c r="I59" s="62" t="str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/>
      </c>
      <c r="J59" s="62" t="str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/>
      </c>
      <c r="K59" s="62" t="str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/>
      </c>
      <c r="L59" s="62" t="str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/>
      </c>
      <c r="M59" s="62" t="str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/>
      </c>
      <c r="N59" s="62" t="str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/>
      </c>
      <c r="O59" s="62" t="str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/>
      </c>
      <c r="P59" s="62" t="str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/>
      </c>
      <c r="Q59" s="62" t="str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/>
      </c>
      <c r="R59" s="62" t="str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/>
      </c>
      <c r="S59" s="62" t="str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/>
      </c>
      <c r="T59" s="62" t="str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/>
      </c>
      <c r="U59" s="62" t="str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/>
      </c>
      <c r="V59" s="62" t="str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/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7.3827684520804057E-2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7.0033119199051808E-2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6.9033119199051793E-2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6.7033119199051777E-2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0</v>
      </c>
      <c r="AB59" s="2">
        <f>SUMIFS(PERSALDATA!$G$2:$G$20871,PERSALDATA!$A$2:$A$20871,WORKING!A59,PERSALDATA!$D$2:$D$20871,WORKING!B59,PERSALDATA!$E$2:$E$20871,WORKING!C59,PERSALDATA!$F$2:$F$20871,"S&amp;W: BASIC SALARY (RES)")</f>
        <v>0</v>
      </c>
      <c r="AC59" s="2">
        <f>SUMIFS(PERSALDATA!$H$2:$H$20871,PERSALDATA!$A$2:$A$20871,WORKING!A59,PERSALDATA!$D$2:$D$20871,WORKING!B59,PERSALDATA!$E$2:$E$20871,WORKING!C59)</f>
        <v>0</v>
      </c>
    </row>
    <row r="60" spans="1:29" x14ac:dyDescent="0.25">
      <c r="A60" s="2">
        <f>Results!$D$3</f>
        <v>26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0.70329974913022297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5.7265269607451985E-2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4.6462888518128506E-2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1.7217140788699164E-2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5.7843771048085309E-2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9.142832046575862E-2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1.75225549186292E-2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2.4115489694843966E-4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0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0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0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8.7191506260758788E-3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7.3278633267295418E-2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7.0403027680540006E-2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6.9403027680540005E-2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6.740302768053999E-2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1.3431782783052567E-2</v>
      </c>
      <c r="AB60" s="2">
        <f>SUMIFS(PERSALDATA!$G$2:$G$20871,PERSALDATA!$A$2:$A$20871,WORKING!A60,PERSALDATA!$D$2:$D$20871,WORKING!B60,PERSALDATA!$E$2:$E$20871,WORKING!C60,PERSALDATA!$F$2:$F$20871,"S&amp;W: BASIC SALARY (RES)")</f>
        <v>8</v>
      </c>
      <c r="AC60" s="2">
        <f>SUMIFS(PERSALDATA!$H$2:$H$20871,PERSALDATA!$A$2:$A$20871,WORKING!A60,PERSALDATA!$D$2:$D$20871,WORKING!B60,PERSALDATA!$E$2:$E$20871,WORKING!C60)</f>
        <v>2079078.66</v>
      </c>
    </row>
    <row r="61" spans="1:29" x14ac:dyDescent="0.25">
      <c r="A61" s="2">
        <f>Results!$D$3</f>
        <v>26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0.72180415771861306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5.6416616639088049E-2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3.8933838085068874E-2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1.8899350202894322E-3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6.3071375703808413E-2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9.3834010570623544E-2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2.3848302461587579E-2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2.0176380092084577E-4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0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0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0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0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7.3924027565388059E-2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7.0556732254706434E-2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6.9556732254706433E-2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6.7556732254706417E-2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1.3466895336153023E-2</v>
      </c>
      <c r="AB61" s="2">
        <f>SUMIFS(PERSALDATA!$G$2:$G$20871,PERSALDATA!$A$2:$A$20871,WORKING!A61,PERSALDATA!$D$2:$D$20871,WORKING!B61,PERSALDATA!$E$2:$E$20871,WORKING!C61,PERSALDATA!$F$2:$F$20871,"S&amp;W: BASIC SALARY (RES)")</f>
        <v>2</v>
      </c>
      <c r="AC61" s="2">
        <f>SUMIFS(PERSALDATA!$H$2:$H$20871,PERSALDATA!$A$2:$A$20871,WORKING!A61,PERSALDATA!$D$2:$D$20871,WORKING!B61,PERSALDATA!$E$2:$E$20871,WORKING!C61)</f>
        <v>693484.16000000015</v>
      </c>
    </row>
    <row r="62" spans="1:29" x14ac:dyDescent="0.25">
      <c r="A62" s="2">
        <f>Results!$D$3</f>
        <v>26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0.73136176273165598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5.2846545505400126E-2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2.6792332785238435E-2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7.0482714380213154E-3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3.376449846636255E-2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9.5076524037297008E-2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7.2010814611987734E-3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1.7172666873417069E-4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3.4727615213160007E-2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0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1.1009641692931645E-2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0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7.4436485686850934E-2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7.0238544149143059E-2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6.9238544149143072E-2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6.7238544149143056E-2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1.4089071631194973E-2</v>
      </c>
      <c r="AB62" s="2">
        <f>SUMIFS(PERSALDATA!$G$2:$G$20871,PERSALDATA!$A$2:$A$20871,WORKING!A62,PERSALDATA!$D$2:$D$20871,WORKING!B62,PERSALDATA!$E$2:$E$20871,WORKING!C62,PERSALDATA!$F$2:$F$20871,"S&amp;W: BASIC SALARY (RES)")</f>
        <v>19</v>
      </c>
      <c r="AC62" s="2">
        <f>SUMIFS(PERSALDATA!$H$2:$H$20871,PERSALDATA!$A$2:$A$20871,WORKING!A62,PERSALDATA!$D$2:$D$20871,WORKING!B62,PERSALDATA!$E$2:$E$20871,WORKING!C62)</f>
        <v>7468554.5899999999</v>
      </c>
    </row>
    <row r="63" spans="1:29" x14ac:dyDescent="0.25">
      <c r="A63" s="2">
        <f>Results!$D$3</f>
        <v>26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0.73715176533238502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6.1516705070324459E-2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2.2584485894785615E-2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5.3046829019967416E-4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4.3441657576512284E-2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9.5829413362445506E-2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1.2206579848422126E-2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1.3348784151452547E-4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2.3451343337449953E-2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0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3.1540934459608578E-3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0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0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0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7.4891762278067472E-2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7.0425780004699859E-2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6.9425780004699844E-2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6.7425780004699815E-2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1.4007605530307811E-2</v>
      </c>
      <c r="AB63" s="2">
        <f>SUMIFS(PERSALDATA!$G$2:$G$20871,PERSALDATA!$A$2:$A$20871,WORKING!A63,PERSALDATA!$D$2:$D$20871,WORKING!B63,PERSALDATA!$E$2:$E$20871,WORKING!C63,PERSALDATA!$F$2:$F$20871,"S&amp;W: BASIC SALARY (RES)")</f>
        <v>11</v>
      </c>
      <c r="AC63" s="2">
        <f>SUMIFS(PERSALDATA!$H$2:$H$20871,PERSALDATA!$A$2:$A$20871,WORKING!A63,PERSALDATA!$D$2:$D$20871,WORKING!B63,PERSALDATA!$E$2:$E$20871,WORKING!C63)</f>
        <v>5765019.4299999997</v>
      </c>
    </row>
    <row r="64" spans="1:29" x14ac:dyDescent="0.25">
      <c r="A64" s="2">
        <f>Results!$D$3</f>
        <v>26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0.6936510975949548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5.3287898593925152E-2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3.3003552543455987E-2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6.5706991535701223E-4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2.1343241540400879E-2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8.381112207092796E-2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9.149131776137279E-3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1.135710349770816E-4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1.1228961084658547E-2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9.260945559755894E-2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0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1.144898247646371E-3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0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1.4183094523217492E-2</v>
      </c>
      <c r="AB64" s="2">
        <f>SUMIFS(PERSALDATA!$G$2:$G$20871,PERSALDATA!$A$2:$A$20871,WORKING!A64,PERSALDATA!$D$2:$D$20871,WORKING!B64,PERSALDATA!$E$2:$E$20871,WORKING!C64,PERSALDATA!$F$2:$F$20871,"S&amp;W: BASIC SALARY (RES)")</f>
        <v>14</v>
      </c>
      <c r="AC64" s="2">
        <f>SUMIFS(PERSALDATA!$H$2:$H$20871,PERSALDATA!$A$2:$A$20871,WORKING!A64,PERSALDATA!$D$2:$D$20871,WORKING!B64,PERSALDATA!$E$2:$E$20871,WORKING!C64)</f>
        <v>8726696.9100000001</v>
      </c>
    </row>
    <row r="65" spans="1:29" x14ac:dyDescent="0.25">
      <c r="A65" s="2">
        <f>Results!$D$3</f>
        <v>26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0.69042047322220257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5.8233234600243926E-2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2.7477296464776962E-2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0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2.1315228675478259E-2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8.9754426868236689E-2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2.5114148643112712E-2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9.6322618638188044E-5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0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8.7588868907310713E-2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0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0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1.4266667283616597E-2</v>
      </c>
      <c r="AB65" s="2">
        <f>SUMIFS(PERSALDATA!$G$2:$G$20871,PERSALDATA!$A$2:$A$20871,WORKING!A65,PERSALDATA!$D$2:$D$20871,WORKING!B65,PERSALDATA!$E$2:$E$20871,WORKING!C65,PERSALDATA!$F$2:$F$20871,"S&amp;W: BASIC SALARY (RES)")</f>
        <v>7</v>
      </c>
      <c r="AC65" s="2">
        <f>SUMIFS(PERSALDATA!$H$2:$H$20871,PERSALDATA!$A$2:$A$20871,WORKING!A65,PERSALDATA!$D$2:$D$20871,WORKING!B65,PERSALDATA!$E$2:$E$20871,WORKING!C65)</f>
        <v>5023638.34</v>
      </c>
    </row>
    <row r="66" spans="1:29" x14ac:dyDescent="0.25">
      <c r="A66" s="2">
        <f>Results!$D$3</f>
        <v>26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0.68429550717267507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4.2826940534891611E-2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1.5733809349707955E-2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1.9317986101073277E-2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8.9001472361202039E-2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3.7403019896938231E-3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7.7018411296052392E-5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0.11929263841182589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2.5714325667634257E-2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0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1.4473067792068839E-2</v>
      </c>
      <c r="AB66" s="2">
        <f>SUMIFS(PERSALDATA!$G$2:$G$20871,PERSALDATA!$A$2:$A$20871,WORKING!A66,PERSALDATA!$D$2:$D$20871,WORKING!B66,PERSALDATA!$E$2:$E$20871,WORKING!C66,PERSALDATA!$F$2:$F$20871,"S&amp;W: BASIC SALARY (RES)")</f>
        <v>8</v>
      </c>
      <c r="AC66" s="2">
        <f>SUMIFS(PERSALDATA!$H$2:$H$20871,PERSALDATA!$A$2:$A$20871,WORKING!A66,PERSALDATA!$D$2:$D$20871,WORKING!B66,PERSALDATA!$E$2:$E$20871,WORKING!C66)</f>
        <v>7115441.5</v>
      </c>
    </row>
    <row r="67" spans="1:29" x14ac:dyDescent="0.25">
      <c r="A67" s="2">
        <f>Results!$D$3</f>
        <v>26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0.60365787933105031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1.8524182838940265E-2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1.5468899302612181E-2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7.2128865493180962E-3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7.8475374329149805E-2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0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6.2342658348075539E-5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0.2114340926648193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6.5164342325761904E-2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1.4658838072345822E-2</v>
      </c>
      <c r="AB67" s="2">
        <f>SUMIFS(PERSALDATA!$G$2:$G$20871,PERSALDATA!$A$2:$A$20871,WORKING!A67,PERSALDATA!$D$2:$D$20871,WORKING!B67,PERSALDATA!$E$2:$E$20871,WORKING!C67,PERSALDATA!$F$2:$F$20871,"S&amp;W: BASIC SALARY (RES)")</f>
        <v>3</v>
      </c>
      <c r="AC67" s="2">
        <f>SUMIFS(PERSALDATA!$H$2:$H$20871,PERSALDATA!$A$2:$A$20871,WORKING!A67,PERSALDATA!$D$2:$D$20871,WORKING!B67,PERSALDATA!$E$2:$E$20871,WORKING!C67)</f>
        <v>2898978.08</v>
      </c>
    </row>
    <row r="68" spans="1:29" x14ac:dyDescent="0.25">
      <c r="A68" s="2">
        <f>Results!$D$3</f>
        <v>26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26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26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26</v>
      </c>
      <c r="B71" s="2">
        <v>5</v>
      </c>
      <c r="C71" s="2">
        <v>1</v>
      </c>
      <c r="D71" s="62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>1</v>
      </c>
      <c r="E71" s="62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>0</v>
      </c>
      <c r="F71" s="62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>0</v>
      </c>
      <c r="G71" s="69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>0</v>
      </c>
      <c r="H71" s="62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>0</v>
      </c>
      <c r="I71" s="62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>0</v>
      </c>
      <c r="J71" s="62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>0</v>
      </c>
      <c r="K71" s="62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>0</v>
      </c>
      <c r="L71" s="62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>0</v>
      </c>
      <c r="M71" s="62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>0</v>
      </c>
      <c r="N71" s="62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>0</v>
      </c>
      <c r="O71" s="62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>0</v>
      </c>
      <c r="P71" s="62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>0</v>
      </c>
      <c r="Q71" s="62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>0</v>
      </c>
      <c r="R71" s="62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>0</v>
      </c>
      <c r="S71" s="62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>0</v>
      </c>
      <c r="T71" s="62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>0</v>
      </c>
      <c r="U71" s="62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>0</v>
      </c>
      <c r="V71" s="62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>0</v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7.5999999999999998E-2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7.0000000000000007E-2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6.9000000000000006E-2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6.7000000000000004E-2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1.4999999999999999E-2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238.09</v>
      </c>
    </row>
    <row r="72" spans="1:29" x14ac:dyDescent="0.25">
      <c r="A72" s="2">
        <f>Results!$D$3</f>
        <v>26</v>
      </c>
      <c r="B72" s="2">
        <v>5</v>
      </c>
      <c r="C72" s="2">
        <v>2</v>
      </c>
      <c r="D72" s="62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>1</v>
      </c>
      <c r="E72" s="62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>0</v>
      </c>
      <c r="F72" s="62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>0</v>
      </c>
      <c r="G72" s="69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>0</v>
      </c>
      <c r="H72" s="62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>0</v>
      </c>
      <c r="I72" s="62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>0</v>
      </c>
      <c r="J72" s="62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>0</v>
      </c>
      <c r="K72" s="62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>0</v>
      </c>
      <c r="L72" s="62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>0</v>
      </c>
      <c r="M72" s="62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>0</v>
      </c>
      <c r="N72" s="62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>0</v>
      </c>
      <c r="O72" s="62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>0</v>
      </c>
      <c r="P72" s="62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>0</v>
      </c>
      <c r="Q72" s="62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>0</v>
      </c>
      <c r="R72" s="62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>0</v>
      </c>
      <c r="S72" s="62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>0</v>
      </c>
      <c r="T72" s="62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>0</v>
      </c>
      <c r="U72" s="62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>0</v>
      </c>
      <c r="V72" s="62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>0</v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7.5999999999999998E-2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7.0000000000000007E-2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6.9000000000000006E-2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6.7000000000000004E-2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1.4999999999999999E-2</v>
      </c>
      <c r="AB72" s="2">
        <f>SUMIFS(PERSALDATA!$G$2:$G$20871,PERSALDATA!$A$2:$A$20871,WORKING!A72,PERSALDATA!$D$2:$D$20871,WORKING!B72,PERSALDATA!$E$2:$E$20871,WORKING!C72,PERSALDATA!$F$2:$F$20871,"S&amp;W: BASIC SALARY (RES)")</f>
        <v>2</v>
      </c>
      <c r="AC72" s="2">
        <f>SUMIFS(PERSALDATA!$H$2:$H$20871,PERSALDATA!$A$2:$A$20871,WORKING!A72,PERSALDATA!$D$2:$D$20871,WORKING!B72,PERSALDATA!$E$2:$E$20871,WORKING!C72)</f>
        <v>159288.04999999999</v>
      </c>
    </row>
    <row r="73" spans="1:29" x14ac:dyDescent="0.25">
      <c r="A73" s="2">
        <f>Results!$D$3</f>
        <v>26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26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26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26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26</v>
      </c>
      <c r="B77" s="2">
        <v>5</v>
      </c>
      <c r="C77" s="2">
        <v>7</v>
      </c>
      <c r="D77" s="62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>0.69648611383580905</v>
      </c>
      <c r="E77" s="62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>4.820972009380671E-2</v>
      </c>
      <c r="F77" s="62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>4.6120772036171438E-2</v>
      </c>
      <c r="G77" s="69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>3.9381432136597352E-2</v>
      </c>
      <c r="H77" s="62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>6.15564888690079E-2</v>
      </c>
      <c r="I77" s="62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>9.054257276492457E-2</v>
      </c>
      <c r="J77" s="62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>1.7461436611365219E-2</v>
      </c>
      <c r="K77" s="62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>2.4146365231783696E-4</v>
      </c>
      <c r="L77" s="62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>0</v>
      </c>
      <c r="M77" s="62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>0</v>
      </c>
      <c r="N77" s="62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>0</v>
      </c>
      <c r="O77" s="62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>0</v>
      </c>
      <c r="P77" s="62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>0</v>
      </c>
      <c r="Q77" s="62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>0</v>
      </c>
      <c r="R77" s="62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>0</v>
      </c>
      <c r="S77" s="62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>0</v>
      </c>
      <c r="T77" s="62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>0</v>
      </c>
      <c r="U77" s="62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>0</v>
      </c>
      <c r="V77" s="62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>0</v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7.3356612169417079E-2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7.0462139612673419E-2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6.9462139612673418E-2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6.7462139612673416E-2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1.3381219131637543E-2</v>
      </c>
      <c r="AB77" s="2">
        <f>SUMIFS(PERSALDATA!$G$2:$G$20871,PERSALDATA!$A$2:$A$20871,WORKING!A77,PERSALDATA!$D$2:$D$20871,WORKING!B77,PERSALDATA!$E$2:$E$20871,WORKING!C77,PERSALDATA!$F$2:$F$20871,"S&amp;W: BASIC SALARY (RES)")</f>
        <v>5</v>
      </c>
      <c r="AC77" s="2">
        <f>SUMIFS(PERSALDATA!$H$2:$H$20871,PERSALDATA!$A$2:$A$20871,WORKING!A77,PERSALDATA!$D$2:$D$20871,WORKING!B77,PERSALDATA!$E$2:$E$20871,WORKING!C77)</f>
        <v>1424520.8199999998</v>
      </c>
    </row>
    <row r="78" spans="1:29" x14ac:dyDescent="0.25">
      <c r="A78" s="2">
        <f>Results!$D$3</f>
        <v>26</v>
      </c>
      <c r="B78" s="2">
        <v>5</v>
      </c>
      <c r="C78" s="2">
        <v>8</v>
      </c>
      <c r="D78" s="62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>0.73402035263685583</v>
      </c>
      <c r="E78" s="62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>9.9870524034971597E-2</v>
      </c>
      <c r="F78" s="62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>3.6760201556348515E-2</v>
      </c>
      <c r="G78" s="69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>3.2119593711875077E-3</v>
      </c>
      <c r="H78" s="62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>7.0579586988189147E-3</v>
      </c>
      <c r="I78" s="62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>9.5422131199969465E-2</v>
      </c>
      <c r="J78" s="62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>2.3447323015109635E-2</v>
      </c>
      <c r="K78" s="62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>2.0954948673854488E-4</v>
      </c>
      <c r="L78" s="62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>0</v>
      </c>
      <c r="M78" s="62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>0</v>
      </c>
      <c r="N78" s="62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>0</v>
      </c>
      <c r="O78" s="62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>0</v>
      </c>
      <c r="P78" s="62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>0</v>
      </c>
      <c r="Q78" s="62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>0</v>
      </c>
      <c r="R78" s="62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>0</v>
      </c>
      <c r="S78" s="62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>0</v>
      </c>
      <c r="T78" s="62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>0</v>
      </c>
      <c r="U78" s="62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>0</v>
      </c>
      <c r="V78" s="62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>0</v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7.3305036103500976E-2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6.9738267364918796E-2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6.8738267364918809E-2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6.6738267364918821E-2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1.433958435387141E-2</v>
      </c>
      <c r="AB78" s="2">
        <f>SUMIFS(PERSALDATA!$G$2:$G$20871,PERSALDATA!$A$2:$A$20871,WORKING!A78,PERSALDATA!$D$2:$D$20871,WORKING!B78,PERSALDATA!$E$2:$E$20871,WORKING!C78,PERSALDATA!$F$2:$F$20871,"S&amp;W: BASIC SALARY (RES)")</f>
        <v>1</v>
      </c>
      <c r="AC78" s="2">
        <f>SUMIFS(PERSALDATA!$H$2:$H$20871,PERSALDATA!$A$2:$A$20871,WORKING!A78,PERSALDATA!$D$2:$D$20871,WORKING!B78,PERSALDATA!$E$2:$E$20871,WORKING!C78)</f>
        <v>612074.99</v>
      </c>
    </row>
    <row r="79" spans="1:29" x14ac:dyDescent="0.25">
      <c r="A79" s="2">
        <f>Results!$D$3</f>
        <v>26</v>
      </c>
      <c r="B79" s="2">
        <v>5</v>
      </c>
      <c r="C79" s="2">
        <v>9</v>
      </c>
      <c r="D79" s="62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>0.82907774369307952</v>
      </c>
      <c r="E79" s="62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>0</v>
      </c>
      <c r="F79" s="62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>4.944234528116763E-2</v>
      </c>
      <c r="G79" s="69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>1.3500232379022821E-2</v>
      </c>
      <c r="H79" s="62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>0</v>
      </c>
      <c r="I79" s="62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>0.10777950581826531</v>
      </c>
      <c r="J79" s="62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>0</v>
      </c>
      <c r="K79" s="62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>2.001728284647273E-4</v>
      </c>
      <c r="L79" s="62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>0</v>
      </c>
      <c r="M79" s="62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>0</v>
      </c>
      <c r="N79" s="62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>0</v>
      </c>
      <c r="O79" s="62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>0</v>
      </c>
      <c r="P79" s="62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>0</v>
      </c>
      <c r="Q79" s="62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>0</v>
      </c>
      <c r="R79" s="62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>0</v>
      </c>
      <c r="S79" s="62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>0</v>
      </c>
      <c r="T79" s="62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>0</v>
      </c>
      <c r="U79" s="62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>0</v>
      </c>
      <c r="V79" s="62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>0</v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7.2242381758631249E-2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6.9505576547188322E-2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6.8505576547188335E-2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6.6505576547188333E-2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1.4255362228355516E-2</v>
      </c>
      <c r="AB79" s="2">
        <f>SUMIFS(PERSALDATA!$G$2:$G$20871,PERSALDATA!$A$2:$A$20871,WORKING!A79,PERSALDATA!$D$2:$D$20871,WORKING!B79,PERSALDATA!$E$2:$E$20871,WORKING!C79,PERSALDATA!$F$2:$F$20871,"S&amp;W: BASIC SALARY (RES)")</f>
        <v>1</v>
      </c>
      <c r="AC79" s="2">
        <f>SUMIFS(PERSALDATA!$H$2:$H$20871,PERSALDATA!$A$2:$A$20871,WORKING!A79,PERSALDATA!$D$2:$D$20871,WORKING!B79,PERSALDATA!$E$2:$E$20871,WORKING!C79)</f>
        <v>145624.16</v>
      </c>
    </row>
    <row r="80" spans="1:29" x14ac:dyDescent="0.25">
      <c r="A80" s="2">
        <f>Results!$D$3</f>
        <v>26</v>
      </c>
      <c r="B80" s="2">
        <v>5</v>
      </c>
      <c r="C80" s="2">
        <v>10</v>
      </c>
      <c r="D80" s="62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>0.82364243338236798</v>
      </c>
      <c r="E80" s="62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>3.540891682973403E-2</v>
      </c>
      <c r="F80" s="62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>1.8626886679063124E-2</v>
      </c>
      <c r="G80" s="69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>4.1592761734228724E-3</v>
      </c>
      <c r="H80" s="62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>1.0930257103274242E-2</v>
      </c>
      <c r="I80" s="62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>0.10707295753310747</v>
      </c>
      <c r="J80" s="62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>0</v>
      </c>
      <c r="K80" s="62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>1.5927229903044241E-4</v>
      </c>
      <c r="L80" s="62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>0</v>
      </c>
      <c r="M80" s="62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>0</v>
      </c>
      <c r="N80" s="62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>0</v>
      </c>
      <c r="O80" s="62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>0</v>
      </c>
      <c r="P80" s="62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>0</v>
      </c>
      <c r="Q80" s="62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>0</v>
      </c>
      <c r="R80" s="62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>0</v>
      </c>
      <c r="S80" s="62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>0</v>
      </c>
      <c r="T80" s="62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>0</v>
      </c>
      <c r="U80" s="62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>0</v>
      </c>
      <c r="V80" s="62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>0</v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7.4737380211837054E-2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6.9977684989758496E-2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6.8977684989758495E-2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6.6977684989758507E-2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1.4554253758779485E-2</v>
      </c>
      <c r="AB80" s="2">
        <f>SUMIFS(PERSALDATA!$G$2:$G$20871,PERSALDATA!$A$2:$A$20871,WORKING!A80,PERSALDATA!$D$2:$D$20871,WORKING!B80,PERSALDATA!$E$2:$E$20871,WORKING!C80,PERSALDATA!$F$2:$F$20871,"S&amp;W: BASIC SALARY (RES)")</f>
        <v>3</v>
      </c>
      <c r="AC80" s="2">
        <f>SUMIFS(PERSALDATA!$H$2:$H$20871,PERSALDATA!$A$2:$A$20871,WORKING!A80,PERSALDATA!$D$2:$D$20871,WORKING!B80,PERSALDATA!$E$2:$E$20871,WORKING!C80)</f>
        <v>1207931.3299999998</v>
      </c>
    </row>
    <row r="81" spans="1:29" x14ac:dyDescent="0.25">
      <c r="A81" s="2">
        <f>Results!$D$3</f>
        <v>26</v>
      </c>
      <c r="B81" s="2">
        <v>5</v>
      </c>
      <c r="C81" s="2">
        <v>11</v>
      </c>
      <c r="D81" s="62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>0.68340187175992184</v>
      </c>
      <c r="E81" s="62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>2.263712872516796E-2</v>
      </c>
      <c r="F81" s="62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>8.7617814135007868E-2</v>
      </c>
      <c r="G81" s="69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>5.6186368666300886E-3</v>
      </c>
      <c r="H81" s="62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>1.5316475056114671E-2</v>
      </c>
      <c r="I81" s="62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>8.8841905676794022E-2</v>
      </c>
      <c r="J81" s="62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>9.0669321476918516E-3</v>
      </c>
      <c r="K81" s="62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>1.1718510443195345E-4</v>
      </c>
      <c r="L81" s="62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>0</v>
      </c>
      <c r="M81" s="62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>7.8333045177056873E-2</v>
      </c>
      <c r="N81" s="62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>9.0490053511828265E-3</v>
      </c>
      <c r="O81" s="62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>0</v>
      </c>
      <c r="P81" s="62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>0</v>
      </c>
      <c r="Q81" s="62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>0</v>
      </c>
      <c r="R81" s="62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>0</v>
      </c>
      <c r="S81" s="62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>0</v>
      </c>
      <c r="T81" s="62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>0</v>
      </c>
      <c r="U81" s="62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>0</v>
      </c>
      <c r="V81" s="62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>0</v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1.345422788556668E-2</v>
      </c>
      <c r="AB81" s="2">
        <f>SUMIFS(PERSALDATA!$G$2:$G$20871,PERSALDATA!$A$2:$A$20871,WORKING!A81,PERSALDATA!$D$2:$D$20871,WORKING!B81,PERSALDATA!$E$2:$E$20871,WORKING!C81,PERSALDATA!$F$2:$F$20871,"S&amp;W: BASIC SALARY (RES)")</f>
        <v>5</v>
      </c>
      <c r="AC81" s="2">
        <f>SUMIFS(PERSALDATA!$H$2:$H$20871,PERSALDATA!$A$2:$A$20871,WORKING!A81,PERSALDATA!$D$2:$D$20871,WORKING!B81,PERSALDATA!$E$2:$E$20871,WORKING!C81)</f>
        <v>2935270.67</v>
      </c>
    </row>
    <row r="82" spans="1:29" x14ac:dyDescent="0.25">
      <c r="A82" s="2">
        <f>Results!$D$3</f>
        <v>26</v>
      </c>
      <c r="B82" s="2">
        <v>5</v>
      </c>
      <c r="C82" s="2">
        <v>12</v>
      </c>
      <c r="D82" s="62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>0.6895864450377136</v>
      </c>
      <c r="E82" s="62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>3.9668675031493551E-2</v>
      </c>
      <c r="F82" s="62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>6.0355319801602275E-2</v>
      </c>
      <c r="G82" s="69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>9.3820738356422944E-3</v>
      </c>
      <c r="H82" s="62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>2.5600667457437187E-3</v>
      </c>
      <c r="I82" s="62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>8.984815054519403E-2</v>
      </c>
      <c r="J82" s="62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>0</v>
      </c>
      <c r="K82" s="62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>9.8842312103879972E-5</v>
      </c>
      <c r="L82" s="62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>0</v>
      </c>
      <c r="M82" s="62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>9.7377453779824527E-2</v>
      </c>
      <c r="N82" s="62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>1.1122972910681986E-2</v>
      </c>
      <c r="O82" s="62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>0</v>
      </c>
      <c r="P82" s="62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>0</v>
      </c>
      <c r="Q82" s="62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>0</v>
      </c>
      <c r="R82" s="62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>0</v>
      </c>
      <c r="S82" s="62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>0</v>
      </c>
      <c r="T82" s="62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>0</v>
      </c>
      <c r="U82" s="62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>0</v>
      </c>
      <c r="V82" s="62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>0</v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1.4054786567108247E-2</v>
      </c>
      <c r="AB82" s="2">
        <f>SUMIFS(PERSALDATA!$G$2:$G$20871,PERSALDATA!$A$2:$A$20871,WORKING!A82,PERSALDATA!$D$2:$D$20871,WORKING!B82,PERSALDATA!$E$2:$E$20871,WORKING!C82,PERSALDATA!$F$2:$F$20871,"S&amp;W: BASIC SALARY (RES)")</f>
        <v>5</v>
      </c>
      <c r="AC82" s="2">
        <f>SUMIFS(PERSALDATA!$H$2:$H$20871,PERSALDATA!$A$2:$A$20871,WORKING!A82,PERSALDATA!$D$2:$D$20871,WORKING!B82,PERSALDATA!$E$2:$E$20871,WORKING!C82)</f>
        <v>3538970.2300000004</v>
      </c>
    </row>
    <row r="83" spans="1:29" x14ac:dyDescent="0.25">
      <c r="A83" s="2">
        <f>Results!$D$3</f>
        <v>26</v>
      </c>
      <c r="B83" s="2">
        <v>5</v>
      </c>
      <c r="C83" s="2">
        <v>13</v>
      </c>
      <c r="D83" s="62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>0.66514110692777473</v>
      </c>
      <c r="E83" s="62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>2.6482126258640826E-2</v>
      </c>
      <c r="F83" s="62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>2.6807529656808934E-2</v>
      </c>
      <c r="G83" s="69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>0</v>
      </c>
      <c r="H83" s="62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>8.6994878696594821E-3</v>
      </c>
      <c r="I83" s="62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>8.646812890873809E-2</v>
      </c>
      <c r="J83" s="62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>9.9417180016564011E-3</v>
      </c>
      <c r="K83" s="62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>7.8098391554524545E-5</v>
      </c>
      <c r="L83" s="62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>0</v>
      </c>
      <c r="M83" s="62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>0.16273325311417894</v>
      </c>
      <c r="N83" s="62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>1.3648550870988155E-2</v>
      </c>
      <c r="O83" s="62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>0</v>
      </c>
      <c r="P83" s="62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>0</v>
      </c>
      <c r="Q83" s="62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>0</v>
      </c>
      <c r="R83" s="62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>0</v>
      </c>
      <c r="S83" s="62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>0</v>
      </c>
      <c r="T83" s="62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>0</v>
      </c>
      <c r="U83" s="62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>0</v>
      </c>
      <c r="V83" s="62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>0</v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1.4466223261229656E-2</v>
      </c>
      <c r="AB83" s="2">
        <f>SUMIFS(PERSALDATA!$G$2:$G$20871,PERSALDATA!$A$2:$A$20871,WORKING!A83,PERSALDATA!$D$2:$D$20871,WORKING!B83,PERSALDATA!$E$2:$E$20871,WORKING!C83,PERSALDATA!$F$2:$F$20871,"S&amp;W: BASIC SALARY (RES)")</f>
        <v>4</v>
      </c>
      <c r="AC83" s="2">
        <f>SUMIFS(PERSALDATA!$H$2:$H$20871,PERSALDATA!$A$2:$A$20871,WORKING!A83,PERSALDATA!$D$2:$D$20871,WORKING!B83,PERSALDATA!$E$2:$E$20871,WORKING!C83)</f>
        <v>3807120.66</v>
      </c>
    </row>
    <row r="84" spans="1:29" x14ac:dyDescent="0.25">
      <c r="A84" s="2">
        <f>Results!$D$3</f>
        <v>26</v>
      </c>
      <c r="B84" s="2">
        <v>5</v>
      </c>
      <c r="C84" s="2">
        <v>14</v>
      </c>
      <c r="D84" s="62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>0.60106459325218609</v>
      </c>
      <c r="E84" s="62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>5.0214374312338057E-2</v>
      </c>
      <c r="F84" s="62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>6.2950978785186323E-2</v>
      </c>
      <c r="G84" s="69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>0</v>
      </c>
      <c r="H84" s="62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>3.8991454738460862E-3</v>
      </c>
      <c r="I84" s="62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>7.8138261682799526E-2</v>
      </c>
      <c r="J84" s="62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>0</v>
      </c>
      <c r="K84" s="62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>6.4874480914733671E-5</v>
      </c>
      <c r="L84" s="62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>0</v>
      </c>
      <c r="M84" s="62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>0.19067135168198576</v>
      </c>
      <c r="N84" s="62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>1.2996420330743488E-2</v>
      </c>
      <c r="O84" s="62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>0</v>
      </c>
      <c r="P84" s="62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>0</v>
      </c>
      <c r="Q84" s="62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>0</v>
      </c>
      <c r="R84" s="62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>0</v>
      </c>
      <c r="S84" s="62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>0</v>
      </c>
      <c r="T84" s="62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>0</v>
      </c>
      <c r="U84" s="62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>0</v>
      </c>
      <c r="V84" s="62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>0</v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1.3996275018900793E-2</v>
      </c>
      <c r="AB84" s="2">
        <f>SUMIFS(PERSALDATA!$G$2:$G$20871,PERSALDATA!$A$2:$A$20871,WORKING!A84,PERSALDATA!$D$2:$D$20871,WORKING!B84,PERSALDATA!$E$2:$E$20871,WORKING!C84,PERSALDATA!$F$2:$F$20871,"S&amp;W: BASIC SALARY (RES)")</f>
        <v>4</v>
      </c>
      <c r="AC84" s="2">
        <f>SUMIFS(PERSALDATA!$H$2:$H$20871,PERSALDATA!$A$2:$A$20871,WORKING!A84,PERSALDATA!$D$2:$D$20871,WORKING!B84,PERSALDATA!$E$2:$E$20871,WORKING!C84)</f>
        <v>3145304.55</v>
      </c>
    </row>
    <row r="85" spans="1:29" x14ac:dyDescent="0.25">
      <c r="A85" s="2">
        <f>Results!$D$3</f>
        <v>26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26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26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26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26</v>
      </c>
      <c r="B89" s="2">
        <v>6</v>
      </c>
      <c r="C89" s="2">
        <v>2</v>
      </c>
      <c r="D89" s="62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>1</v>
      </c>
      <c r="E89" s="62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>0</v>
      </c>
      <c r="F89" s="62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>0</v>
      </c>
      <c r="G89" s="69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>0</v>
      </c>
      <c r="H89" s="62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>0</v>
      </c>
      <c r="I89" s="62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>0</v>
      </c>
      <c r="J89" s="62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>0</v>
      </c>
      <c r="K89" s="62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>0</v>
      </c>
      <c r="L89" s="62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>0</v>
      </c>
      <c r="M89" s="62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>0</v>
      </c>
      <c r="N89" s="62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>0</v>
      </c>
      <c r="O89" s="62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>0</v>
      </c>
      <c r="P89" s="62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>0</v>
      </c>
      <c r="Q89" s="62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>0</v>
      </c>
      <c r="R89" s="62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>0</v>
      </c>
      <c r="S89" s="62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>0</v>
      </c>
      <c r="T89" s="62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>0</v>
      </c>
      <c r="U89" s="62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>0</v>
      </c>
      <c r="V89" s="62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>0</v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7.5999999999999998E-2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7.0000000000000007E-2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6.9000000000000006E-2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6.7000000000000004E-2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1.4999999999999999E-2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34920.380000000005</v>
      </c>
    </row>
    <row r="90" spans="1:29" x14ac:dyDescent="0.25">
      <c r="A90" s="2">
        <f>Results!$D$3</f>
        <v>26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26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26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26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26</v>
      </c>
      <c r="B94" s="2">
        <v>6</v>
      </c>
      <c r="C94" s="2">
        <v>7</v>
      </c>
      <c r="D94" s="62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>0.72813721187463643</v>
      </c>
      <c r="E94" s="62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>6.0902962158998819E-2</v>
      </c>
      <c r="F94" s="62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>3.2778027303160227E-2</v>
      </c>
      <c r="G94" s="69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>1.6507933722065705E-2</v>
      </c>
      <c r="H94" s="62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>5.5225773144348289E-2</v>
      </c>
      <c r="I94" s="62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>9.4657167675287604E-2</v>
      </c>
      <c r="J94" s="62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>1.154826266222999E-2</v>
      </c>
      <c r="K94" s="62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>2.426614592729195E-4</v>
      </c>
      <c r="L94" s="62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>0</v>
      </c>
      <c r="M94" s="62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>0</v>
      </c>
      <c r="N94" s="62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>0</v>
      </c>
      <c r="O94" s="62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>0</v>
      </c>
      <c r="P94" s="62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>0</v>
      </c>
      <c r="Q94" s="62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>0</v>
      </c>
      <c r="R94" s="62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>0</v>
      </c>
      <c r="S94" s="62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>0</v>
      </c>
      <c r="T94" s="62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>0</v>
      </c>
      <c r="U94" s="62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>0</v>
      </c>
      <c r="V94" s="62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>0</v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7.4282030748980682E-2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7.0500606324133616E-2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6.9500606324133629E-2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6.7500606324133627E-2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1.3676303071398279E-2</v>
      </c>
      <c r="AB94" s="2">
        <f>SUMIFS(PERSALDATA!$G$2:$G$20871,PERSALDATA!$A$2:$A$20871,WORKING!A94,PERSALDATA!$D$2:$D$20871,WORKING!B94,PERSALDATA!$E$2:$E$20871,WORKING!C94,PERSALDATA!$F$2:$F$20871,"S&amp;W: BASIC SALARY (RES)")</f>
        <v>4</v>
      </c>
      <c r="AC94" s="2">
        <f>SUMIFS(PERSALDATA!$H$2:$H$20871,PERSALDATA!$A$2:$A$20871,WORKING!A94,PERSALDATA!$D$2:$D$20871,WORKING!B94,PERSALDATA!$E$2:$E$20871,WORKING!C94)</f>
        <v>1153211.56</v>
      </c>
    </row>
    <row r="95" spans="1:29" x14ac:dyDescent="0.25">
      <c r="A95" s="2">
        <f>Results!$D$3</f>
        <v>26</v>
      </c>
      <c r="B95" s="2">
        <v>6</v>
      </c>
      <c r="C95" s="2">
        <v>8</v>
      </c>
      <c r="D95" s="62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>0.71909601599124151</v>
      </c>
      <c r="E95" s="62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>6.0147113937703445E-2</v>
      </c>
      <c r="F95" s="62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>0</v>
      </c>
      <c r="G95" s="69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>1.3477302390167267E-2</v>
      </c>
      <c r="H95" s="62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>7.5320795057401982E-2</v>
      </c>
      <c r="I95" s="62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>9.348201517584219E-2</v>
      </c>
      <c r="J95" s="62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>3.8290102960653383E-2</v>
      </c>
      <c r="K95" s="62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>1.8665448699004081E-4</v>
      </c>
      <c r="L95" s="62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>0</v>
      </c>
      <c r="M95" s="62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>0</v>
      </c>
      <c r="N95" s="62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>0</v>
      </c>
      <c r="O95" s="62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>0</v>
      </c>
      <c r="P95" s="62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>0</v>
      </c>
      <c r="Q95" s="62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>0</v>
      </c>
      <c r="R95" s="62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>0</v>
      </c>
      <c r="S95" s="62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>0</v>
      </c>
      <c r="T95" s="62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>0</v>
      </c>
      <c r="U95" s="62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>0</v>
      </c>
      <c r="V95" s="62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>0</v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7.7054491130803607E-2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7.1129811925861028E-2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7.0129811925861013E-2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6.8129811925861011E-2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1.3867388256834118E-2</v>
      </c>
      <c r="AB95" s="2">
        <f>SUMIFS(PERSALDATA!$G$2:$G$20871,PERSALDATA!$A$2:$A$20871,WORKING!A95,PERSALDATA!$D$2:$D$20871,WORKING!B95,PERSALDATA!$E$2:$E$20871,WORKING!C95,PERSALDATA!$F$2:$F$20871,"S&amp;W: BASIC SALARY (RES)")</f>
        <v>1</v>
      </c>
      <c r="AC95" s="2">
        <f>SUMIFS(PERSALDATA!$H$2:$H$20871,PERSALDATA!$A$2:$A$20871,WORKING!A95,PERSALDATA!$D$2:$D$20871,WORKING!B95,PERSALDATA!$E$2:$E$20871,WORKING!C95)</f>
        <v>374810.17000000004</v>
      </c>
    </row>
    <row r="96" spans="1:29" x14ac:dyDescent="0.25">
      <c r="A96" s="2">
        <f>Results!$D$3</f>
        <v>26</v>
      </c>
      <c r="B96" s="2">
        <v>6</v>
      </c>
      <c r="C96" s="2">
        <v>9</v>
      </c>
      <c r="D96" s="62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>0.68558749700412402</v>
      </c>
      <c r="E96" s="62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>6.7840145846204555E-2</v>
      </c>
      <c r="F96" s="62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>2.0726026616485302E-2</v>
      </c>
      <c r="G96" s="69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>8.2484370560900813E-3</v>
      </c>
      <c r="H96" s="62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>3.1370974845613964E-2</v>
      </c>
      <c r="I96" s="62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>8.9125958058040411E-2</v>
      </c>
      <c r="J96" s="62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>1.1555538757991504E-2</v>
      </c>
      <c r="K96" s="62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>1.579512878092932E-4</v>
      </c>
      <c r="L96" s="62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>0</v>
      </c>
      <c r="M96" s="62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>0</v>
      </c>
      <c r="N96" s="62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>8.5387470527640966E-2</v>
      </c>
      <c r="O96" s="62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>0</v>
      </c>
      <c r="P96" s="62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>0</v>
      </c>
      <c r="Q96" s="62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>0</v>
      </c>
      <c r="R96" s="62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>0</v>
      </c>
      <c r="S96" s="62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>0</v>
      </c>
      <c r="T96" s="62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>0</v>
      </c>
      <c r="U96" s="62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>0</v>
      </c>
      <c r="V96" s="62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>0</v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7.4864015624985708E-2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7.0263304356519368E-2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6.9263304356519367E-2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6.7263304356519379E-2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1.4216175708751373E-2</v>
      </c>
      <c r="AB96" s="2">
        <f>SUMIFS(PERSALDATA!$G$2:$G$20871,PERSALDATA!$A$2:$A$20871,WORKING!A96,PERSALDATA!$D$2:$D$20871,WORKING!B96,PERSALDATA!$E$2:$E$20871,WORKING!C96,PERSALDATA!$F$2:$F$20871,"S&amp;W: BASIC SALARY (RES)")</f>
        <v>3</v>
      </c>
      <c r="AC96" s="2">
        <f>SUMIFS(PERSALDATA!$H$2:$H$20871,PERSALDATA!$A$2:$A$20871,WORKING!A96,PERSALDATA!$D$2:$D$20871,WORKING!B96,PERSALDATA!$E$2:$E$20871,WORKING!C96)</f>
        <v>1476404.5499999998</v>
      </c>
    </row>
    <row r="97" spans="1:29" x14ac:dyDescent="0.25">
      <c r="A97" s="2">
        <f>Results!$D$3</f>
        <v>26</v>
      </c>
      <c r="B97" s="2">
        <v>6</v>
      </c>
      <c r="C97" s="2">
        <v>10</v>
      </c>
      <c r="D97" s="62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>0.82496020079268428</v>
      </c>
      <c r="E97" s="62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>3.1358321379334121E-2</v>
      </c>
      <c r="F97" s="62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>2.4207578819737518E-2</v>
      </c>
      <c r="G97" s="69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>0</v>
      </c>
      <c r="H97" s="62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>2.0033858333575877E-3</v>
      </c>
      <c r="I97" s="62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>0.10724432293785702</v>
      </c>
      <c r="J97" s="62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>0</v>
      </c>
      <c r="K97" s="62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>1.5140402936911695E-4</v>
      </c>
      <c r="L97" s="62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>0</v>
      </c>
      <c r="M97" s="62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>0</v>
      </c>
      <c r="N97" s="62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>1.0074786207660552E-2</v>
      </c>
      <c r="O97" s="62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>0</v>
      </c>
      <c r="P97" s="62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>0</v>
      </c>
      <c r="Q97" s="62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>0</v>
      </c>
      <c r="R97" s="62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>0</v>
      </c>
      <c r="S97" s="62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>0</v>
      </c>
      <c r="T97" s="62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>0</v>
      </c>
      <c r="U97" s="62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>0</v>
      </c>
      <c r="V97" s="62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>0</v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7.4188271411366968E-2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6.9787974999303004E-2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6.8787974999303017E-2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6.6787974999303001E-2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1.4604564469763038E-2</v>
      </c>
      <c r="AB97" s="2">
        <f>SUMIFS(PERSALDATA!$G$2:$G$20871,PERSALDATA!$A$2:$A$20871,WORKING!A97,PERSALDATA!$D$2:$D$20871,WORKING!B97,PERSALDATA!$E$2:$E$20871,WORKING!C97,PERSALDATA!$F$2:$F$20871,"S&amp;W: BASIC SALARY (RES)")</f>
        <v>3</v>
      </c>
      <c r="AC97" s="2">
        <f>SUMIFS(PERSALDATA!$H$2:$H$20871,PERSALDATA!$A$2:$A$20871,WORKING!A97,PERSALDATA!$D$2:$D$20871,WORKING!B97,PERSALDATA!$E$2:$E$20871,WORKING!C97)</f>
        <v>1078174.7399999998</v>
      </c>
    </row>
    <row r="98" spans="1:29" x14ac:dyDescent="0.25">
      <c r="A98" s="2">
        <f>Results!$D$3</f>
        <v>26</v>
      </c>
      <c r="B98" s="2">
        <v>6</v>
      </c>
      <c r="C98" s="2">
        <v>11</v>
      </c>
      <c r="D98" s="62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>0.67105378058244469</v>
      </c>
      <c r="E98" s="62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>5.8548824274155739E-2</v>
      </c>
      <c r="F98" s="62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>8.9160334547397899E-2</v>
      </c>
      <c r="G98" s="69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>1.3014834952371188E-2</v>
      </c>
      <c r="H98" s="62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>1.7214776937299676E-2</v>
      </c>
      <c r="I98" s="62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>8.7236654231936744E-2</v>
      </c>
      <c r="J98" s="62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>0</v>
      </c>
      <c r="K98" s="62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>1.1797329402735844E-4</v>
      </c>
      <c r="L98" s="62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>0</v>
      </c>
      <c r="M98" s="62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>5.6138350679808373E-2</v>
      </c>
      <c r="N98" s="62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>0</v>
      </c>
      <c r="O98" s="62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>0</v>
      </c>
      <c r="P98" s="62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>0</v>
      </c>
      <c r="Q98" s="62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>0</v>
      </c>
      <c r="R98" s="62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>7.5144705005584416E-3</v>
      </c>
      <c r="S98" s="62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>0</v>
      </c>
      <c r="T98" s="62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>0</v>
      </c>
      <c r="U98" s="62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>0</v>
      </c>
      <c r="V98" s="62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>0</v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1.3402603728319126E-2</v>
      </c>
      <c r="AB98" s="2">
        <f>SUMIFS(PERSALDATA!$G$2:$G$20871,PERSALDATA!$A$2:$A$20871,WORKING!A98,PERSALDATA!$D$2:$D$20871,WORKING!B98,PERSALDATA!$E$2:$E$20871,WORKING!C98,PERSALDATA!$F$2:$F$20871,"S&amp;W: BASIC SALARY (RES)")</f>
        <v>3</v>
      </c>
      <c r="AC98" s="2">
        <f>SUMIFS(PERSALDATA!$H$2:$H$20871,PERSALDATA!$A$2:$A$20871,WORKING!A98,PERSALDATA!$D$2:$D$20871,WORKING!B98,PERSALDATA!$E$2:$E$20871,WORKING!C98)</f>
        <v>1531533.0599999998</v>
      </c>
    </row>
    <row r="99" spans="1:29" x14ac:dyDescent="0.25">
      <c r="A99" s="2">
        <f>Results!$D$3</f>
        <v>26</v>
      </c>
      <c r="B99" s="2">
        <v>6</v>
      </c>
      <c r="C99" s="2">
        <v>12</v>
      </c>
      <c r="D99" s="62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>0.69039973071941074</v>
      </c>
      <c r="E99" s="62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>5.6842690157275062E-2</v>
      </c>
      <c r="F99" s="62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>2.0945264059491042E-2</v>
      </c>
      <c r="G99" s="69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>6.4110479575772653E-3</v>
      </c>
      <c r="H99" s="62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>2.5117250359933372E-2</v>
      </c>
      <c r="I99" s="62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>8.9751702867422428E-2</v>
      </c>
      <c r="J99" s="62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>0</v>
      </c>
      <c r="K99" s="62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>9.3467594406711492E-5</v>
      </c>
      <c r="L99" s="62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>0</v>
      </c>
      <c r="M99" s="62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>0.10814210757613291</v>
      </c>
      <c r="N99" s="62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>0</v>
      </c>
      <c r="O99" s="62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>0</v>
      </c>
      <c r="P99" s="62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>2.2967387083506104E-3</v>
      </c>
      <c r="Q99" s="62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>0</v>
      </c>
      <c r="R99" s="62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>0</v>
      </c>
      <c r="S99" s="62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>0</v>
      </c>
      <c r="T99" s="62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>0</v>
      </c>
      <c r="U99" s="62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>0</v>
      </c>
      <c r="V99" s="62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>0</v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1.4307660269792535E-2</v>
      </c>
      <c r="AB99" s="2">
        <f>SUMIFS(PERSALDATA!$G$2:$G$20871,PERSALDATA!$A$2:$A$20871,WORKING!A99,PERSALDATA!$D$2:$D$20871,WORKING!B99,PERSALDATA!$E$2:$E$20871,WORKING!C99,PERSALDATA!$F$2:$F$20871,"S&amp;W: BASIC SALARY (RES)")</f>
        <v>5</v>
      </c>
      <c r="AC99" s="2">
        <f>SUMIFS(PERSALDATA!$H$2:$H$20871,PERSALDATA!$A$2:$A$20871,WORKING!A99,PERSALDATA!$D$2:$D$20871,WORKING!B99,PERSALDATA!$E$2:$E$20871,WORKING!C99)</f>
        <v>3867222.6700000004</v>
      </c>
    </row>
    <row r="100" spans="1:29" x14ac:dyDescent="0.25">
      <c r="A100" s="2">
        <f>Results!$D$3</f>
        <v>26</v>
      </c>
      <c r="B100" s="2">
        <v>6</v>
      </c>
      <c r="C100" s="2">
        <v>13</v>
      </c>
      <c r="D100" s="62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>0.60509665994552864</v>
      </c>
      <c r="E100" s="62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>3.8708271172843658E-2</v>
      </c>
      <c r="F100" s="62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>1.1571451064729128E-2</v>
      </c>
      <c r="G100" s="69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>0</v>
      </c>
      <c r="H100" s="62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>7.2437305450860122E-3</v>
      </c>
      <c r="I100" s="62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>7.8662390472853866E-2</v>
      </c>
      <c r="J100" s="62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>8.5892943419403154E-3</v>
      </c>
      <c r="K100" s="62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>7.6206223899882313E-5</v>
      </c>
      <c r="L100" s="62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>0</v>
      </c>
      <c r="M100" s="62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>0.25005199623311847</v>
      </c>
      <c r="N100" s="62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>0</v>
      </c>
      <c r="O100" s="62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>0</v>
      </c>
      <c r="P100" s="62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>0</v>
      </c>
      <c r="Q100" s="62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>0</v>
      </c>
      <c r="R100" s="62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>0</v>
      </c>
      <c r="S100" s="62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>0</v>
      </c>
      <c r="T100" s="62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>0</v>
      </c>
      <c r="U100" s="62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>0</v>
      </c>
      <c r="V100" s="62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>0</v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1.4716629182494275E-2</v>
      </c>
      <c r="AB100" s="2">
        <f>SUMIFS(PERSALDATA!$G$2:$G$20871,PERSALDATA!$A$2:$A$20871,WORKING!A100,PERSALDATA!$D$2:$D$20871,WORKING!B100,PERSALDATA!$E$2:$E$20871,WORKING!C100,PERSALDATA!$F$2:$F$20871,"S&amp;W: BASIC SALARY (RES)")</f>
        <v>4</v>
      </c>
      <c r="AC100" s="2">
        <f>SUMIFS(PERSALDATA!$H$2:$H$20871,PERSALDATA!$A$2:$A$20871,WORKING!A100,PERSALDATA!$D$2:$D$20871,WORKING!B100,PERSALDATA!$E$2:$E$20871,WORKING!C100)</f>
        <v>3672141.0100000002</v>
      </c>
    </row>
    <row r="101" spans="1:29" x14ac:dyDescent="0.25">
      <c r="A101" s="2">
        <f>Results!$D$3</f>
        <v>26</v>
      </c>
      <c r="B101" s="2">
        <v>6</v>
      </c>
      <c r="C101" s="2">
        <v>14</v>
      </c>
      <c r="D101" s="62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>0.69995653841656202</v>
      </c>
      <c r="E101" s="62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>5.8329711534713502E-2</v>
      </c>
      <c r="F101" s="62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>6.6252782947203923E-2</v>
      </c>
      <c r="G101" s="69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>0</v>
      </c>
      <c r="H101" s="62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>1.3355261842284293E-2</v>
      </c>
      <c r="I101" s="62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>9.099417121171452E-2</v>
      </c>
      <c r="J101" s="62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>0</v>
      </c>
      <c r="K101" s="62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>6.2288941232413933E-5</v>
      </c>
      <c r="L101" s="62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>0</v>
      </c>
      <c r="M101" s="62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>7.104924510628928E-2</v>
      </c>
      <c r="N101" s="62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>0</v>
      </c>
      <c r="O101" s="62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>0</v>
      </c>
      <c r="P101" s="62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>0</v>
      </c>
      <c r="Q101" s="62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>0</v>
      </c>
      <c r="R101" s="62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>0</v>
      </c>
      <c r="S101" s="62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>0</v>
      </c>
      <c r="T101" s="62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>0</v>
      </c>
      <c r="U101" s="62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>0</v>
      </c>
      <c r="V101" s="62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>0</v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1.3804944994039189E-2</v>
      </c>
      <c r="AB101" s="2">
        <f>SUMIFS(PERSALDATA!$G$2:$G$20871,PERSALDATA!$A$2:$A$20871,WORKING!A101,PERSALDATA!$D$2:$D$20871,WORKING!B101,PERSALDATA!$E$2:$E$20871,WORKING!C101,PERSALDATA!$F$2:$F$20871,"S&amp;W: BASIC SALARY (RES)")</f>
        <v>1</v>
      </c>
      <c r="AC101" s="2">
        <f>SUMIFS(PERSALDATA!$H$2:$H$20871,PERSALDATA!$A$2:$A$20871,WORKING!A101,PERSALDATA!$D$2:$D$20871,WORKING!B101,PERSALDATA!$E$2:$E$20871,WORKING!C101)</f>
        <v>1123152.82</v>
      </c>
    </row>
    <row r="102" spans="1:29" x14ac:dyDescent="0.25">
      <c r="A102" s="2">
        <f>Results!$D$3</f>
        <v>26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26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26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26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26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26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26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26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26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26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26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26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26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26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26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26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26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26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26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26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26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26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26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26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26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26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26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26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26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26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26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26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26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26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26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26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26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26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26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26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26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26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26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26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26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26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26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26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26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26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26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26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26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26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26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26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26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26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26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26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26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26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26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26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26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26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26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26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26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26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26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26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26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26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26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26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26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26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26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26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26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26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26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26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26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26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26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26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26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26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26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26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26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26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26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26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26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26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26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26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26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26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26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26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26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26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26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26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26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26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26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26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26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26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26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26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26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26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26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26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26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26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26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26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26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26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26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26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26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26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26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26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26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26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26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26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26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26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26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26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26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26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26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26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26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26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26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26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26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26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26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26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26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26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26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26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26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26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26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26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26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26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26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26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26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26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26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26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26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26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26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26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26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26</v>
      </c>
      <c r="E3" s="74" t="str">
        <f>INDEX(MAPs!$I$7:$J$54,MATCH(Results!$D$3,MAPs!$I$7:$I$54,0),2)</f>
        <v>Energy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268.24963715529753</v>
      </c>
      <c r="N9" s="148">
        <f>IFERROR(SUMIFS('Employee Profile (2)'!C$4:C$50,'Employee Profile (2)'!$B$4:$B$50,Results!$D$3),"")</f>
        <v>0.43831640058055155</v>
      </c>
      <c r="O9" s="150" t="s">
        <v>620</v>
      </c>
      <c r="P9" s="143">
        <f>IFERROR(INDEX('Employee Profile (2)'!$AC$4:$AC$50,MATCH(Results!$D$3,'Employee Profile (2)'!$B$4:$B$50,0))*$Q9,"")</f>
        <v>489.42235123367198</v>
      </c>
      <c r="Q9" s="148">
        <f>IFERROR(SUMIFS('Employee Profile (2)'!J$4:J$50,'Employee Profile (2)'!$B$4:$B$50,Results!$D$3),"")</f>
        <v>0.79970972423802611</v>
      </c>
      <c r="R9" s="150" t="s">
        <v>627</v>
      </c>
      <c r="S9" s="144">
        <f>IFERROR(INDEX('Employee Profile (2)'!$AC$4:$AC$50,MATCH(Results!$D$3,'Employee Profile (2)'!$B$4:$B$50,0))*$T9,"")</f>
        <v>14.211901306240929</v>
      </c>
      <c r="T9" s="147">
        <f>IFERROR(SUMIFS('Employee Profile (2)'!N$4:N$50,'Employee Profile (2)'!$B$4:$B$50,Results!$D$3),"")</f>
        <v>2.3222060957910014E-2</v>
      </c>
      <c r="U9" s="150" t="s">
        <v>632</v>
      </c>
      <c r="V9" s="144">
        <f>IFERROR(INDEX('Employee Profile (2)'!$AC$4:$AC$50,MATCH(Results!$D$3,'Employee Profile (2)'!$B$4:$B$50,0))*$W9,"")</f>
        <v>279.79680696661831</v>
      </c>
      <c r="W9" s="147">
        <f>IFERROR(SUMIFS('Employee Profile (2)'!S$4:S$50,'Employee Profile (2)'!$B$4:$B$50,Results!$D$3),"")</f>
        <v>0.45718432510885343</v>
      </c>
      <c r="X9" s="150" t="s">
        <v>635</v>
      </c>
      <c r="Y9" s="144">
        <f>IFERROR(INDEX('Employee Profile (2)'!$AC$4:$AC$50,MATCH(Results!$D$3,'Employee Profile (2)'!$B$4:$B$50,0))*$Z9,"")</f>
        <v>509.85195936139331</v>
      </c>
      <c r="Z9" s="147">
        <f>IFERROR(SUMIFS('Employee Profile (2)'!V$4:V$50,'Employee Profile (2)'!$B$4:$B$50,Results!$D$3),"")</f>
        <v>0.83309143686502174</v>
      </c>
      <c r="AA9" s="150" t="s">
        <v>675</v>
      </c>
      <c r="AB9" s="144">
        <f>IFERROR(SUMIFS('Employee Profile (2)'!$AD$4:$AD$50,'Employee Profile (2)'!$B$4:$B$50,Results!$D$3),"")</f>
        <v>298</v>
      </c>
      <c r="AC9" s="147">
        <f>IFERROR(SUMIFS('Employee Profile (2)'!$AE$4:$AE$50,'Employee Profile (2)'!$B$4:$B$50,Results!$D$3),"")</f>
        <v>0.48692810457516339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231.83164005805514</v>
      </c>
      <c r="N10" s="148">
        <f>IFERROR(SUMIFS('Employee Profile (2)'!D$4:D$50,'Employee Profile (2)'!$B$4:$B$50,Results!$D$3),"")</f>
        <v>0.3788098693759071</v>
      </c>
      <c r="O10" s="150" t="s">
        <v>621</v>
      </c>
      <c r="P10" s="143">
        <f>IFERROR(INDEX('Employee Profile (2)'!$AC$4:$AC$50,MATCH(Results!$D$3,'Employee Profile (2)'!$B$4:$B$50,0))*$Q10,"")</f>
        <v>99.483309143686498</v>
      </c>
      <c r="Q10" s="148">
        <f>IFERROR(SUMIFS('Employee Profile (2)'!K$4:K$50,'Employee Profile (2)'!$B$4:$B$50,Results!$D$3),"")</f>
        <v>0.1625544267053701</v>
      </c>
      <c r="R10" s="150" t="s">
        <v>628</v>
      </c>
      <c r="S10" s="144">
        <f>IFERROR(INDEX('Employee Profile (2)'!$AC$4:$AC$50,MATCH(Results!$D$3,'Employee Profile (2)'!$B$4:$B$50,0))*$T10,"")</f>
        <v>140.34252539912916</v>
      </c>
      <c r="T10" s="147">
        <f>IFERROR(SUMIFS('Employee Profile (2)'!O$4:O$50,'Employee Profile (2)'!$B$4:$B$50,Results!$D$3),"")</f>
        <v>0.22931785195936139</v>
      </c>
      <c r="U10" s="150" t="s">
        <v>633</v>
      </c>
      <c r="V10" s="144">
        <f>IFERROR(INDEX('Employee Profile (2)'!$AC$4:$AC$50,MATCH(Results!$D$3,'Employee Profile (2)'!$B$4:$B$50,0))*$W10,"")</f>
        <v>262.92017416545718</v>
      </c>
      <c r="W10" s="147">
        <f>IFERROR(SUMIFS('Employee Profile (2)'!T$4:T$50,'Employee Profile (2)'!$B$4:$B$50,Results!$D$3),"")</f>
        <v>0.42960812772133528</v>
      </c>
      <c r="X10" s="150" t="s">
        <v>636</v>
      </c>
      <c r="Y10" s="144">
        <f>IFERROR(INDEX('Employee Profile (2)'!$AC$4:$AC$50,MATCH(Results!$D$3,'Employee Profile (2)'!$B$4:$B$50,0))*$Z10,"")</f>
        <v>9.7706821480406383</v>
      </c>
      <c r="Z10" s="147">
        <f>IFERROR(SUMIFS('Employee Profile (2)'!W$4:W$50,'Employee Profile (2)'!$B$4:$B$50,Results!$D$3),"")</f>
        <v>1.5965166908563134E-2</v>
      </c>
      <c r="AA10" s="150" t="s">
        <v>676</v>
      </c>
      <c r="AB10" s="144">
        <f>IFERROR(INDEX('Employee Profile (2)'!$AC$4:$AC$50,MATCH(Results!$D$3,'Employee Profile (2)'!$B$4:$B$50))-$AB$9,"")</f>
        <v>314</v>
      </c>
      <c r="AC10" s="147">
        <f>IFERROR(100%-$AC$9,"")</f>
        <v>0.51307189542483655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25.759071117561682</v>
      </c>
      <c r="N11" s="148">
        <f>IFERROR(SUMIFS('Employee Profile (2)'!E$4:E$50,'Employee Profile (2)'!$B$4:$B$50,Results!$D$3),"")</f>
        <v>4.2089985486211901E-2</v>
      </c>
      <c r="O11" s="150" t="s">
        <v>622</v>
      </c>
      <c r="P11" s="143">
        <f>IFERROR(INDEX('Employee Profile (2)'!$AC$4:$AC$50,MATCH(Results!$D$3,'Employee Profile (2)'!$B$4:$B$50,0))*$Q11,"")</f>
        <v>23.09433962264151</v>
      </c>
      <c r="Q11" s="148">
        <f>IFERROR(SUMIFS('Employee Profile (2)'!L$4:L$50,'Employee Profile (2)'!$B$4:$B$50,Results!$D$3),"")</f>
        <v>3.7735849056603772E-2</v>
      </c>
      <c r="R11" s="150" t="s">
        <v>629</v>
      </c>
      <c r="S11" s="144">
        <f>IFERROR(INDEX('Employee Profile (2)'!$AC$4:$AC$50,MATCH(Results!$D$3,'Employee Profile (2)'!$B$4:$B$50,0))*$T11,"")</f>
        <v>269.1378809869376</v>
      </c>
      <c r="T11" s="147">
        <f>IFERROR(SUMIFS('Employee Profile (2)'!P$4:P$50,'Employee Profile (2)'!$B$4:$B$50,Results!$D$3),"")</f>
        <v>0.43976777939042094</v>
      </c>
      <c r="U11" s="150" t="s">
        <v>53</v>
      </c>
      <c r="V11" s="144">
        <f>IFERROR(INDEX('Employee Profile (2)'!$AC$4:$AC$50,MATCH(Results!$D$3,'Employee Profile (2)'!$B$4:$B$50,0))*$W11,"")</f>
        <v>69.283018867924525</v>
      </c>
      <c r="W11" s="147">
        <f>IFERROR(SUMIFS('Employee Profile (2)'!U$4:U$50,'Employee Profile (2)'!$B$4:$B$50,Results!$D$3),"")</f>
        <v>0.11320754716981132</v>
      </c>
      <c r="X11" s="150" t="s">
        <v>637</v>
      </c>
      <c r="Y11" s="144">
        <f>IFERROR(INDEX('Employee Profile (2)'!$AC$4:$AC$50,MATCH(Results!$D$3,'Employee Profile (2)'!$B$4:$B$50,0))*$Z11,"")</f>
        <v>7.1059506531204644</v>
      </c>
      <c r="Z11" s="147">
        <f>IFERROR(SUMIFS('Employee Profile (2)'!X$4:X$50,'Employee Profile (2)'!$B$4:$B$50,Results!$D$3),"")</f>
        <v>1.1611030478955007E-2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0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13.323657474600871</v>
      </c>
      <c r="N12" s="148">
        <f>IFERROR(SUMIFS('Employee Profile (2)'!F$4:F$50,'Employee Profile (2)'!$B$4:$B$50,Results!$D$3),"")</f>
        <v>2.1770682148040638E-2</v>
      </c>
      <c r="O12" s="150" t="s">
        <v>623</v>
      </c>
      <c r="P12" s="143">
        <f>IFERROR(INDEX('Employee Profile (2)'!$AC$4:$AC$50,MATCH(Results!$D$3,'Employee Profile (2)'!$B$4:$B$50,0))*$Q12,"")</f>
        <v>0</v>
      </c>
      <c r="Q12" s="148">
        <f>IFERROR(SUMIFS('Employee Profile (2)'!M$4:M$50,'Employee Profile (2)'!$B$4:$B$50,Results!$D$3),"")</f>
        <v>0</v>
      </c>
      <c r="R12" s="150" t="s">
        <v>630</v>
      </c>
      <c r="S12" s="144">
        <f>IFERROR(INDEX('Employee Profile (2)'!$AC$4:$AC$50,MATCH(Results!$D$3,'Employee Profile (2)'!$B$4:$B$50,0))*$T12,"")</f>
        <v>115.47169811320754</v>
      </c>
      <c r="T12" s="147">
        <f>IFERROR(SUMIFS('Employee Profile (2)'!Q$4:Q$50,'Employee Profile (2)'!$B$4:$B$50,Results!$D$3),"")</f>
        <v>0.18867924528301885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15.988388969521045</v>
      </c>
      <c r="Z12" s="147">
        <f>IFERROR(SUMIFS('Employee Profile (2)'!Y$4:Y$50,'Employee Profile (2)'!$B$4:$B$50,Results!$D$3),"")</f>
        <v>2.6124818577648767E-2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28</v>
      </c>
      <c r="I13" s="158">
        <v>5</v>
      </c>
      <c r="J13" s="158">
        <v>7</v>
      </c>
      <c r="L13" s="150" t="s">
        <v>660</v>
      </c>
      <c r="M13" s="143">
        <f>IFERROR(INDEX('Employee Profile (2)'!$AC$4:$AC$50,MATCH(Results!$D$3,'Employee Profile (2)'!$B$4:$B$50,0))*$N13,"")</f>
        <v>3.5529753265602322</v>
      </c>
      <c r="N13" s="148">
        <f>IFERROR(SUMIFS('Employee Profile (2)'!G$4:G$50,'Employee Profile (2)'!$B$4:$B$50,Results!$D$3),"")</f>
        <v>5.8055152394775036E-3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72.835994194484769</v>
      </c>
      <c r="T13" s="147">
        <f>IFERROR(SUMIFS('Employee Profile (2)'!R$4:R$50,'Employee Profile (2)'!$B$4:$B$50,Results!$D$3),"")</f>
        <v>0.11901306240928883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69.283018867924525</v>
      </c>
      <c r="Z13" s="147">
        <f>IFERROR(SUMIFS('Employee Profile (2)'!Z$4:Z$50,'Employee Profile (2)'!$B$4:$B$50,Results!$D$3),"")</f>
        <v>0.11320754716981132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0</v>
      </c>
      <c r="N14" s="148">
        <f>IFERROR(SUMIFS('Employee Profile (2)'!H$4:H$50,'Employee Profile (2)'!$B$4:$B$50,Results!$D$3),"")</f>
        <v>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0</v>
      </c>
      <c r="H15" s="112">
        <f t="shared" ref="H15:J15" si="0">SUM(H9:H14)</f>
        <v>28</v>
      </c>
      <c r="I15" s="112">
        <f t="shared" si="0"/>
        <v>5</v>
      </c>
      <c r="J15" s="112">
        <f t="shared" si="0"/>
        <v>7</v>
      </c>
      <c r="L15" s="150" t="s">
        <v>53</v>
      </c>
      <c r="M15" s="143">
        <f>IFERROR(INDEX('Employee Profile (2)'!$AC$4:$AC$50,MATCH(Results!$D$3,'Employee Profile (2)'!$B$4:$B$50,0))*$N15,"")</f>
        <v>69.283018867924525</v>
      </c>
      <c r="N15" s="148">
        <f>IFERROR(SUMIFS('Employee Profile (2)'!I$4:I$50,'Employee Profile (2)'!$B$4:$B$50,Results!$D$3),"")</f>
        <v>0.11320754716981132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0</v>
      </c>
      <c r="H16" s="82">
        <f>SUMIFS($W$64:$W$509,$C$64:$C$509,"Total")</f>
        <v>28</v>
      </c>
      <c r="I16" s="82">
        <f>SUMIFS($AE$64:$AE$509,$C$64:$C$509,"Total")</f>
        <v>5</v>
      </c>
      <c r="J16" s="82">
        <f>SUMIFS($AM$64:$AM$509,$C$64:$C$509,"Total")</f>
        <v>7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303</v>
      </c>
      <c r="G29" s="87">
        <f t="shared" ref="G29:G44" si="4">SUMIFS($K$64:$K$509,$A$64:$A$509,B29,$C$64:$C$509,"Total")</f>
        <v>458.21901290429037</v>
      </c>
      <c r="H29" s="83">
        <f t="shared" ref="H29:H44" si="5">SUMIFS($J$64:$J$509,$A$64:$A$509,B29,$C$64:$C$509,"Total")</f>
        <v>138840.36090999999</v>
      </c>
      <c r="I29" s="21">
        <f t="shared" ref="I29:I44" si="6">-SUMIFS($O$64:$O$509,$A$64:$A$509,$B29,$C$64:$C$509,"Total")+SUMIFS($N$64:$N$509,$A$64:$A$509,$B29,$C$64:$C$509,"Total")</f>
        <v>0</v>
      </c>
      <c r="J29" s="88">
        <f t="shared" ref="J29:J44" si="7">SUMIFS($P$64:$P$509,$A$64:$A$509,$B29,$C$64:$C$509,"Total")</f>
        <v>303</v>
      </c>
      <c r="K29" s="88">
        <f t="shared" ref="K29:K44" si="8">SUMIFS($M$64:$M$509,$A$64:$A$509,$B29,$C$64:$C$509,"Total")</f>
        <v>489.09630341554015</v>
      </c>
      <c r="L29" s="88">
        <f t="shared" ref="L29:L44" si="9">SUMIFS($R$64:$R$509,$A$64:$A$509,$B29,$C$64:$C$509,"Total")+SUMIFS($Q$64:$Q$509,$A$64:$A$509,$B29,$C$64:$C$509,"Total")</f>
        <v>0</v>
      </c>
      <c r="M29" s="88">
        <f t="shared" ref="M29:M44" si="10">SUMIFS($S$64:$S$509,$A$64:$A$509,$B29,$C$64:$C$509,"Total")</f>
        <v>148196.17993490867</v>
      </c>
      <c r="N29" s="88">
        <f t="shared" ref="N29:N44" si="11">SUMIFS($S$64:$S$509,$A$64:$A$509,$B29,$C$64:$C$509,"Compensation Budget")</f>
        <v>136792</v>
      </c>
      <c r="O29" s="89">
        <f t="shared" ref="O29:O44" si="12">SUMIFS($S$64:$S$509,$A$64:$A$509,$B29,$C$64:$C$509,"Under/(Over)")</f>
        <v>-11404.179934908665</v>
      </c>
      <c r="P29" s="21">
        <f t="shared" ref="P29:P44" si="13">-SUMIFS($W$64:$W$509,$A$64:$A$509,$B29,$C$64:$C$509,"Total")+SUMIFS($V$64:$V$509,$A$64:$A$509,$B29,$C$64:$C$509,"Total")</f>
        <v>-20</v>
      </c>
      <c r="Q29" s="88">
        <f t="shared" ref="Q29:Q44" si="14">SUMIFS($X$64:$X$509,$A$64:$A$509,$B29,$C$64:$C$509,"Total")</f>
        <v>283</v>
      </c>
      <c r="R29" s="88">
        <f t="shared" ref="R29:R44" si="15">SUMIFS($U$64:$U$509,$A$64:$A$509,$B29,$C$64:$C$509,"Total")</f>
        <v>558.09947748380773</v>
      </c>
      <c r="S29" s="88">
        <f t="shared" ref="S29:S44" si="16">SUMIFS($Z$64:$Z$509,$A$64:$A$509,$B29,$C$64:$C$509,"Total")+SUMIFS($Y$64:$Y$509,$A$64:$A$509,$B29,$C$64:$C$509,"Total")</f>
        <v>-2344.9126748523727</v>
      </c>
      <c r="T29" s="88">
        <f t="shared" ref="T29:T44" si="17">SUMIFS($AA$64:$AA$509,$A$64:$A$509,$B29,$C$64:$C$509,"Total")</f>
        <v>157942.15212791759</v>
      </c>
      <c r="U29" s="88">
        <f t="shared" ref="U29:U44" si="18">SUMIFS($AA$64:$AA$509,$A$64:$A$509,$B29,$C$64:$C$509,"Compensation Budget")</f>
        <v>143141</v>
      </c>
      <c r="V29" s="89">
        <f t="shared" ref="V29:V44" si="19">SUMIFS($AA$64:$AA$509,$A$64:$A$509,$B29,$C$64:$C$509,"Under/(Over)")</f>
        <v>-14801.152127917594</v>
      </c>
      <c r="W29" s="21">
        <f t="shared" ref="W29:W44" si="20">-SUMIFS($AE$64:$AE$509,$A$64:$A$509,$B29,$C$64:$C$509,"Total")+SUMIFS($AD$64:$AD$509,$A$64:$A$509,$B29,$C$64:$C$509,"Total")</f>
        <v>-4</v>
      </c>
      <c r="X29" s="88">
        <f t="shared" ref="X29:X44" si="21">SUMIFS($AF$64:$AF$509,$A$64:$A$509,$B29,$C$64:$C$509,"Total")</f>
        <v>279</v>
      </c>
      <c r="Y29" s="88">
        <f t="shared" ref="Y29:Y44" si="22">SUMIFS($AC$64:$AC$509,$A$64:$A$509,$B29,$C$64:$C$509,"Total")</f>
        <v>597.22449073201847</v>
      </c>
      <c r="Z29" s="88">
        <f t="shared" ref="Z29:Z44" si="23">SUMIFS($AH$64:$AH$509,$A$64:$A$509,$B29,$C$64:$C$509,"Total")+SUMIFS($AG$64:$AG$509,$A$64:$A$509,$B29,$C$64:$C$509,"Total")</f>
        <v>-4038.3057655766179</v>
      </c>
      <c r="AA29" s="88">
        <f t="shared" ref="AA29:AA44" si="24">SUMIFS($AI$64:$AI$509,$A$64:$A$509,$B29,$C$64:$C$509,"Total")</f>
        <v>166625.63291423314</v>
      </c>
      <c r="AB29" s="88">
        <f t="shared" ref="AB29:AB44" si="25">SUMIFS($AI$64:$AI$509,$A$64:$A$509,$B29,$C$64:$C$509,"Compensation Budget")</f>
        <v>148570</v>
      </c>
      <c r="AC29" s="89">
        <f t="shared" ref="AC29:AC44" si="26">SUMIFS($AI$64:$AI$509,$A$64:$A$509,$B29,$C$64:$C$509,"Under/(Over)")</f>
        <v>-18055.632914233138</v>
      </c>
      <c r="AD29" s="21">
        <f t="shared" ref="AD29:AD44" si="27">-SUMIFS($AM$64:$AM$509,$A$64:$A$509,$B29,$C$64:$C$509,"Total")+SUMIFS($AL$64:$AL$509,$A$64:$A$509,$B29,$C$64:$C$509,"Total")</f>
        <v>-4</v>
      </c>
      <c r="AE29" s="88">
        <f t="shared" ref="AE29:AE44" si="28">SUMIFS($AN$64:$AN$509,$A$64:$A$509,$B29,$C$64:$C$509,"Total")</f>
        <v>275</v>
      </c>
      <c r="AF29" s="88">
        <f t="shared" ref="AF29:AF44" si="29">SUMIFS($AK$64:$AK$509,$A$64:$A$509,$B29,$C$64:$C$509,"Total")</f>
        <v>642.21171858963191</v>
      </c>
      <c r="AG29" s="88">
        <f t="shared" ref="AG29:AG44" si="30">SUMIFS($AP$64:$AP$509,$A$64:$A$509,$B29,$C$64:$C$509,"Total")+SUMIFS($AO$64:$AO$509,$A$64:$A$509,$B29,$C$64:$C$509,"Total")</f>
        <v>-3118.1077322197034</v>
      </c>
      <c r="AH29" s="88">
        <f t="shared" ref="AH29:AH44" si="31">SUMIFS($AQ$64:$AQ$509,$A$64:$A$509,$B29,$C$64:$C$509,"Total")</f>
        <v>176608.22261214876</v>
      </c>
      <c r="AI29" s="88">
        <f t="shared" ref="AI29:AI44" si="32">SUMIFS($AQ$64:$AQ$509,$A$64:$A$509,$B29,$C$64:$C$509,"Compensation Budget")</f>
        <v>159861.32</v>
      </c>
      <c r="AJ29" s="89">
        <f t="shared" ref="AJ29:AJ44" si="33">SUMIFS($AQ$64:$AQ$509,$A$64:$A$509,$B29,$C$64:$C$509,"Under/(Over)")</f>
        <v>-16746.902612148755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Energy Policy and Planning</v>
      </c>
      <c r="D30" s="222">
        <f t="shared" si="2"/>
        <v>0</v>
      </c>
      <c r="E30" s="223">
        <f t="shared" si="2"/>
        <v>0</v>
      </c>
      <c r="F30" s="80">
        <f t="shared" si="3"/>
        <v>52</v>
      </c>
      <c r="G30" s="155">
        <f t="shared" si="4"/>
        <v>603.55125250000003</v>
      </c>
      <c r="H30" s="155">
        <f t="shared" si="5"/>
        <v>31384.665130000001</v>
      </c>
      <c r="I30" s="23">
        <f t="shared" si="6"/>
        <v>0</v>
      </c>
      <c r="J30" s="22">
        <f t="shared" si="7"/>
        <v>52</v>
      </c>
      <c r="K30" s="22">
        <f t="shared" si="8"/>
        <v>647.360659083629</v>
      </c>
      <c r="L30" s="22">
        <f t="shared" si="9"/>
        <v>0</v>
      </c>
      <c r="M30" s="22">
        <f t="shared" si="10"/>
        <v>33662.754272348706</v>
      </c>
      <c r="N30" s="22">
        <f t="shared" si="11"/>
        <v>34769</v>
      </c>
      <c r="O30" s="91">
        <f t="shared" si="12"/>
        <v>1106.2457276512941</v>
      </c>
      <c r="P30" s="23">
        <f t="shared" si="13"/>
        <v>-2</v>
      </c>
      <c r="Q30" s="22">
        <f t="shared" si="14"/>
        <v>50</v>
      </c>
      <c r="R30" s="22">
        <f t="shared" si="15"/>
        <v>722.66184854742562</v>
      </c>
      <c r="S30" s="22">
        <f t="shared" si="16"/>
        <v>-276.47716362619099</v>
      </c>
      <c r="T30" s="22">
        <f t="shared" si="17"/>
        <v>36133.092427371281</v>
      </c>
      <c r="U30" s="22">
        <f t="shared" si="18"/>
        <v>33806</v>
      </c>
      <c r="V30" s="91">
        <f t="shared" si="19"/>
        <v>-2327.0924273712808</v>
      </c>
      <c r="W30" s="23">
        <f t="shared" si="20"/>
        <v>0</v>
      </c>
      <c r="X30" s="22">
        <f t="shared" si="21"/>
        <v>50</v>
      </c>
      <c r="Y30" s="22">
        <f t="shared" si="22"/>
        <v>780.88673617569498</v>
      </c>
      <c r="Z30" s="22">
        <f t="shared" si="23"/>
        <v>0</v>
      </c>
      <c r="AA30" s="22">
        <f t="shared" si="24"/>
        <v>39044.336808784748</v>
      </c>
      <c r="AB30" s="22">
        <f t="shared" si="25"/>
        <v>37065</v>
      </c>
      <c r="AC30" s="91">
        <f t="shared" si="26"/>
        <v>-1979.3368087847484</v>
      </c>
      <c r="AD30" s="23">
        <f t="shared" si="27"/>
        <v>0</v>
      </c>
      <c r="AE30" s="22">
        <f t="shared" si="28"/>
        <v>50</v>
      </c>
      <c r="AF30" s="22">
        <f t="shared" si="29"/>
        <v>842.23451414924818</v>
      </c>
      <c r="AG30" s="22">
        <f t="shared" si="30"/>
        <v>0</v>
      </c>
      <c r="AH30" s="22">
        <f t="shared" si="31"/>
        <v>42111.725707462407</v>
      </c>
      <c r="AI30" s="22">
        <f t="shared" si="32"/>
        <v>39881.94</v>
      </c>
      <c r="AJ30" s="91">
        <f t="shared" si="33"/>
        <v>-2229.7857074624044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Petroleum and Petroleum Products Regulation</v>
      </c>
      <c r="D31" s="222">
        <f t="shared" si="2"/>
        <v>0</v>
      </c>
      <c r="E31" s="223">
        <f t="shared" si="2"/>
        <v>0</v>
      </c>
      <c r="F31" s="80">
        <f t="shared" si="3"/>
        <v>122</v>
      </c>
      <c r="G31" s="155">
        <f t="shared" si="4"/>
        <v>424.9869637704918</v>
      </c>
      <c r="H31" s="155">
        <f t="shared" si="5"/>
        <v>51848.40958</v>
      </c>
      <c r="I31" s="23">
        <f t="shared" si="6"/>
        <v>0</v>
      </c>
      <c r="J31" s="22">
        <f t="shared" si="7"/>
        <v>122</v>
      </c>
      <c r="K31" s="22">
        <f t="shared" si="8"/>
        <v>458.22741765210321</v>
      </c>
      <c r="L31" s="22">
        <f t="shared" si="9"/>
        <v>0</v>
      </c>
      <c r="M31" s="22">
        <f t="shared" si="10"/>
        <v>55903.74495355659</v>
      </c>
      <c r="N31" s="22">
        <f t="shared" si="11"/>
        <v>56792</v>
      </c>
      <c r="O31" s="91">
        <f t="shared" si="12"/>
        <v>888.25504644340981</v>
      </c>
      <c r="P31" s="23">
        <f t="shared" si="13"/>
        <v>-3</v>
      </c>
      <c r="Q31" s="22">
        <f t="shared" si="14"/>
        <v>119</v>
      </c>
      <c r="R31" s="22">
        <f t="shared" si="15"/>
        <v>503.36930816060766</v>
      </c>
      <c r="S31" s="22">
        <f t="shared" si="16"/>
        <v>-611.22172973065176</v>
      </c>
      <c r="T31" s="22">
        <f t="shared" si="17"/>
        <v>59900.947671112313</v>
      </c>
      <c r="U31" s="22">
        <f t="shared" si="18"/>
        <v>55106</v>
      </c>
      <c r="V31" s="91">
        <f t="shared" si="19"/>
        <v>-4794.9476711123134</v>
      </c>
      <c r="W31" s="23">
        <f t="shared" si="20"/>
        <v>-1</v>
      </c>
      <c r="X31" s="22">
        <f t="shared" si="21"/>
        <v>118</v>
      </c>
      <c r="Y31" s="22">
        <f t="shared" si="22"/>
        <v>541.06444622154891</v>
      </c>
      <c r="Z31" s="22">
        <f t="shared" si="23"/>
        <v>-931.78263790335177</v>
      </c>
      <c r="AA31" s="22">
        <f t="shared" si="24"/>
        <v>63845.604654142771</v>
      </c>
      <c r="AB31" s="22">
        <f t="shared" si="25"/>
        <v>57470</v>
      </c>
      <c r="AC31" s="91">
        <f t="shared" si="26"/>
        <v>-6375.6046541427713</v>
      </c>
      <c r="AD31" s="23">
        <f t="shared" si="27"/>
        <v>-1</v>
      </c>
      <c r="AE31" s="22">
        <f t="shared" si="28"/>
        <v>117</v>
      </c>
      <c r="AF31" s="22">
        <f t="shared" si="29"/>
        <v>582.71294879789355</v>
      </c>
      <c r="AG31" s="22">
        <f t="shared" si="30"/>
        <v>-744.3543152331398</v>
      </c>
      <c r="AH31" s="22">
        <f t="shared" si="31"/>
        <v>68177.415009353543</v>
      </c>
      <c r="AI31" s="22">
        <f t="shared" si="32"/>
        <v>61837.72</v>
      </c>
      <c r="AJ31" s="91">
        <f t="shared" si="33"/>
        <v>-6339.6950093535415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Electrification and Energy Programme and Project Management</v>
      </c>
      <c r="D32" s="222">
        <f t="shared" si="2"/>
        <v>0</v>
      </c>
      <c r="E32" s="223">
        <f t="shared" si="2"/>
        <v>0</v>
      </c>
      <c r="F32" s="80">
        <f t="shared" si="3"/>
        <v>83</v>
      </c>
      <c r="G32" s="155">
        <f t="shared" si="4"/>
        <v>496.75450277108433</v>
      </c>
      <c r="H32" s="155">
        <f t="shared" si="5"/>
        <v>41230.623729999999</v>
      </c>
      <c r="I32" s="23">
        <f t="shared" si="6"/>
        <v>0</v>
      </c>
      <c r="J32" s="22">
        <f t="shared" si="7"/>
        <v>83</v>
      </c>
      <c r="K32" s="22">
        <f t="shared" si="8"/>
        <v>536.50594049644269</v>
      </c>
      <c r="L32" s="22">
        <f t="shared" si="9"/>
        <v>0</v>
      </c>
      <c r="M32" s="22">
        <f t="shared" si="10"/>
        <v>44529.993061204746</v>
      </c>
      <c r="N32" s="22">
        <f t="shared" si="11"/>
        <v>45749</v>
      </c>
      <c r="O32" s="91">
        <f t="shared" si="12"/>
        <v>1219.0069387952535</v>
      </c>
      <c r="P32" s="23">
        <f t="shared" si="13"/>
        <v>0</v>
      </c>
      <c r="Q32" s="22">
        <f t="shared" si="14"/>
        <v>83</v>
      </c>
      <c r="R32" s="22">
        <f t="shared" si="15"/>
        <v>581.00151824913689</v>
      </c>
      <c r="S32" s="22">
        <f t="shared" si="16"/>
        <v>0</v>
      </c>
      <c r="T32" s="22">
        <f t="shared" si="17"/>
        <v>48223.126014678361</v>
      </c>
      <c r="U32" s="22">
        <f t="shared" si="18"/>
        <v>45131</v>
      </c>
      <c r="V32" s="91">
        <f t="shared" si="19"/>
        <v>-3092.1260146783607</v>
      </c>
      <c r="W32" s="23">
        <f t="shared" si="20"/>
        <v>0</v>
      </c>
      <c r="X32" s="22">
        <f t="shared" si="21"/>
        <v>83</v>
      </c>
      <c r="Y32" s="22">
        <f t="shared" si="22"/>
        <v>628.60754216475527</v>
      </c>
      <c r="Z32" s="22">
        <f t="shared" si="23"/>
        <v>0</v>
      </c>
      <c r="AA32" s="22">
        <f t="shared" si="24"/>
        <v>52174.425999674684</v>
      </c>
      <c r="AB32" s="22">
        <f t="shared" si="25"/>
        <v>46574</v>
      </c>
      <c r="AC32" s="91">
        <f t="shared" si="26"/>
        <v>-5600.4259996746841</v>
      </c>
      <c r="AD32" s="23">
        <f t="shared" si="27"/>
        <v>0</v>
      </c>
      <c r="AE32" s="22">
        <f t="shared" si="28"/>
        <v>83</v>
      </c>
      <c r="AF32" s="22">
        <f t="shared" si="29"/>
        <v>678.84938773033957</v>
      </c>
      <c r="AG32" s="22">
        <f t="shared" si="30"/>
        <v>0</v>
      </c>
      <c r="AH32" s="22">
        <f t="shared" si="31"/>
        <v>56344.499181618186</v>
      </c>
      <c r="AI32" s="22">
        <f t="shared" si="32"/>
        <v>50113.624000000003</v>
      </c>
      <c r="AJ32" s="91">
        <f t="shared" si="33"/>
        <v>-6230.875181618183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Nuclear Energy</v>
      </c>
      <c r="D33" s="222">
        <f t="shared" si="2"/>
        <v>0</v>
      </c>
      <c r="E33" s="223">
        <f t="shared" si="2"/>
        <v>0</v>
      </c>
      <c r="F33" s="80">
        <f t="shared" si="3"/>
        <v>32</v>
      </c>
      <c r="G33" s="155">
        <f t="shared" si="4"/>
        <v>530.51073593750004</v>
      </c>
      <c r="H33" s="155">
        <f t="shared" si="5"/>
        <v>16976.343550000001</v>
      </c>
      <c r="I33" s="23">
        <f t="shared" si="6"/>
        <v>0</v>
      </c>
      <c r="J33" s="22">
        <f t="shared" si="7"/>
        <v>32</v>
      </c>
      <c r="K33" s="22">
        <f t="shared" si="8"/>
        <v>548.2948827052403</v>
      </c>
      <c r="L33" s="22">
        <f t="shared" si="9"/>
        <v>0</v>
      </c>
      <c r="M33" s="22">
        <f t="shared" si="10"/>
        <v>17545.43624656769</v>
      </c>
      <c r="N33" s="22">
        <f t="shared" si="11"/>
        <v>19429</v>
      </c>
      <c r="O33" s="91">
        <f t="shared" si="12"/>
        <v>1883.5637534323105</v>
      </c>
      <c r="P33" s="23">
        <f t="shared" si="13"/>
        <v>-3</v>
      </c>
      <c r="Q33" s="22">
        <f t="shared" si="14"/>
        <v>29</v>
      </c>
      <c r="R33" s="22">
        <f t="shared" si="15"/>
        <v>647.39888714169751</v>
      </c>
      <c r="S33" s="22">
        <f t="shared" si="16"/>
        <v>-188.93452634926834</v>
      </c>
      <c r="T33" s="22">
        <f t="shared" si="17"/>
        <v>18774.567727109228</v>
      </c>
      <c r="U33" s="22">
        <f t="shared" si="18"/>
        <v>20125</v>
      </c>
      <c r="V33" s="91">
        <f t="shared" si="19"/>
        <v>1350.4322728907719</v>
      </c>
      <c r="W33" s="23">
        <f t="shared" si="20"/>
        <v>0</v>
      </c>
      <c r="X33" s="22">
        <f t="shared" si="21"/>
        <v>29</v>
      </c>
      <c r="Y33" s="22">
        <f t="shared" si="22"/>
        <v>699.04685412570166</v>
      </c>
      <c r="Z33" s="22">
        <f t="shared" si="23"/>
        <v>0</v>
      </c>
      <c r="AA33" s="22">
        <f t="shared" si="24"/>
        <v>20272.358769645347</v>
      </c>
      <c r="AB33" s="22">
        <f t="shared" si="25"/>
        <v>20331</v>
      </c>
      <c r="AC33" s="91">
        <f t="shared" si="26"/>
        <v>58.641230354653089</v>
      </c>
      <c r="AD33" s="23">
        <f t="shared" si="27"/>
        <v>0</v>
      </c>
      <c r="AE33" s="22">
        <f t="shared" si="28"/>
        <v>29</v>
      </c>
      <c r="AF33" s="22">
        <f t="shared" si="29"/>
        <v>753.41253375996052</v>
      </c>
      <c r="AG33" s="22">
        <f t="shared" si="30"/>
        <v>0</v>
      </c>
      <c r="AH33" s="22">
        <f t="shared" si="31"/>
        <v>21848.963479038855</v>
      </c>
      <c r="AI33" s="22">
        <f t="shared" si="32"/>
        <v>21876.156000000003</v>
      </c>
      <c r="AJ33" s="91">
        <f t="shared" si="33"/>
        <v>27.192520961147238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>Clean Energy</v>
      </c>
      <c r="D34" s="222">
        <f t="shared" si="2"/>
        <v>0</v>
      </c>
      <c r="E34" s="223">
        <f t="shared" si="2"/>
        <v>0</v>
      </c>
      <c r="F34" s="80">
        <f t="shared" si="3"/>
        <v>27</v>
      </c>
      <c r="G34" s="155">
        <f t="shared" si="4"/>
        <v>530.05818370370378</v>
      </c>
      <c r="H34" s="155">
        <f t="shared" si="5"/>
        <v>14311.570960000001</v>
      </c>
      <c r="I34" s="23">
        <f t="shared" si="6"/>
        <v>0</v>
      </c>
      <c r="J34" s="22">
        <f t="shared" si="7"/>
        <v>27</v>
      </c>
      <c r="K34" s="22">
        <f t="shared" si="8"/>
        <v>569.10155959179633</v>
      </c>
      <c r="L34" s="22">
        <f t="shared" si="9"/>
        <v>0</v>
      </c>
      <c r="M34" s="22">
        <f t="shared" si="10"/>
        <v>15365.742108978502</v>
      </c>
      <c r="N34" s="22">
        <f t="shared" si="11"/>
        <v>17266</v>
      </c>
      <c r="O34" s="91">
        <f t="shared" si="12"/>
        <v>1900.2578910214979</v>
      </c>
      <c r="P34" s="23">
        <f t="shared" si="13"/>
        <v>0</v>
      </c>
      <c r="Q34" s="22">
        <f t="shared" si="14"/>
        <v>27</v>
      </c>
      <c r="R34" s="22">
        <f t="shared" si="15"/>
        <v>615.75891439300631</v>
      </c>
      <c r="S34" s="22">
        <f t="shared" si="16"/>
        <v>0</v>
      </c>
      <c r="T34" s="22">
        <f t="shared" si="17"/>
        <v>16625.490688611171</v>
      </c>
      <c r="U34" s="22">
        <f t="shared" si="18"/>
        <v>16793</v>
      </c>
      <c r="V34" s="91">
        <f t="shared" si="19"/>
        <v>167.50931138882879</v>
      </c>
      <c r="W34" s="23">
        <f t="shared" si="20"/>
        <v>0</v>
      </c>
      <c r="X34" s="22">
        <f t="shared" si="21"/>
        <v>27</v>
      </c>
      <c r="Y34" s="22">
        <f t="shared" si="22"/>
        <v>665.62910224594373</v>
      </c>
      <c r="Z34" s="22">
        <f t="shared" si="23"/>
        <v>0</v>
      </c>
      <c r="AA34" s="22">
        <f t="shared" si="24"/>
        <v>17971.98576064048</v>
      </c>
      <c r="AB34" s="22">
        <f t="shared" si="25"/>
        <v>17512</v>
      </c>
      <c r="AC34" s="91">
        <f t="shared" si="26"/>
        <v>-459.98576064048029</v>
      </c>
      <c r="AD34" s="23">
        <f t="shared" si="27"/>
        <v>-2</v>
      </c>
      <c r="AE34" s="22">
        <f t="shared" si="28"/>
        <v>25</v>
      </c>
      <c r="AF34" s="22">
        <f t="shared" si="29"/>
        <v>759.67054934989062</v>
      </c>
      <c r="AG34" s="22">
        <f t="shared" si="30"/>
        <v>-399.66909443321009</v>
      </c>
      <c r="AH34" s="22">
        <f t="shared" si="31"/>
        <v>18991.763733747266</v>
      </c>
      <c r="AI34" s="22">
        <f t="shared" si="32"/>
        <v>18842.912</v>
      </c>
      <c r="AJ34" s="91">
        <f t="shared" si="33"/>
        <v>-148.85173374726583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619</v>
      </c>
      <c r="G45" s="92">
        <f>IFERROR(H45/F45,0)</f>
        <v>475.91595130856217</v>
      </c>
      <c r="H45" s="92">
        <f>SUM(H29:H38)</f>
        <v>294591.97385999997</v>
      </c>
      <c r="I45" s="25">
        <f>SUM(I29:I38)</f>
        <v>0</v>
      </c>
      <c r="J45" s="92">
        <f>SUM(J29:J38)</f>
        <v>619</v>
      </c>
      <c r="K45" s="92">
        <f>IFERROR(M45/J45,0)</f>
        <v>509.21462128847321</v>
      </c>
      <c r="L45" s="92">
        <f t="shared" ref="L45:Q45" si="34">SUM(L29:L38)</f>
        <v>0</v>
      </c>
      <c r="M45" s="92">
        <f t="shared" si="34"/>
        <v>315203.85057756491</v>
      </c>
      <c r="N45" s="92">
        <f>INDEX('ENE17'!$C$2:$C$48,MATCH(Results!$D$3,'ENE17'!$A$2:$A$48,0))</f>
        <v>318297</v>
      </c>
      <c r="O45" s="129">
        <f>N45-M45</f>
        <v>3093.1494224350899</v>
      </c>
      <c r="P45" s="25">
        <f t="shared" si="34"/>
        <v>-28</v>
      </c>
      <c r="Q45" s="24">
        <f t="shared" si="34"/>
        <v>591</v>
      </c>
      <c r="R45" s="92">
        <f>IFERROR(T45/Q45,0)</f>
        <v>571.23413985922161</v>
      </c>
      <c r="S45" s="24">
        <f>SUM(S29:S38)</f>
        <v>-3421.5460945584832</v>
      </c>
      <c r="T45" s="24">
        <f>SUM(T29:T38)</f>
        <v>337599.37665679998</v>
      </c>
      <c r="U45" s="207">
        <f>INDEX('ENE17'!$D$2:$D$48,MATCH(Results!$D$3,'ENE17'!$A$2:$A$48,0))</f>
        <v>310647</v>
      </c>
      <c r="V45" s="24">
        <f>U45-T45</f>
        <v>-26952.376656799985</v>
      </c>
      <c r="W45" s="25">
        <f t="shared" ref="W45:X45" si="35">SUM(W29:W38)</f>
        <v>-5</v>
      </c>
      <c r="X45" s="24">
        <f t="shared" si="35"/>
        <v>586</v>
      </c>
      <c r="Y45" s="92">
        <f>IFERROR(AA45/X45,0)</f>
        <v>614.22243158211802</v>
      </c>
      <c r="Z45" s="24">
        <f t="shared" ref="Z45:AA45" si="36">SUM(Z29:Z38)</f>
        <v>-4970.0884034799692</v>
      </c>
      <c r="AA45" s="24">
        <f t="shared" si="36"/>
        <v>359934.34490712115</v>
      </c>
      <c r="AB45" s="207">
        <f>INDEX('ENE17'!$E$2:$E$48,MATCH(Results!$D$3,'ENE17'!$A$2:$A$48,0))</f>
        <v>323852</v>
      </c>
      <c r="AC45" s="24">
        <f>AB45-AA45</f>
        <v>-36082.344907121151</v>
      </c>
      <c r="AD45" s="25">
        <f t="shared" ref="AD45:AE45" si="37">SUM(AD29:AD38)</f>
        <v>-7</v>
      </c>
      <c r="AE45" s="24">
        <f t="shared" si="37"/>
        <v>579</v>
      </c>
      <c r="AF45" s="92">
        <f>IFERROR(AH45/AE45,0)</f>
        <v>663.35507724243348</v>
      </c>
      <c r="AG45" s="24">
        <f t="shared" ref="AG45:AH45" si="38">SUM(AG29:AG38)</f>
        <v>-4262.1311418860532</v>
      </c>
      <c r="AH45" s="24">
        <f t="shared" si="38"/>
        <v>384082.58972336899</v>
      </c>
      <c r="AI45" s="207">
        <f>INDEX('ENE17'!$F$2:$F$48,MATCH(Results!$D$3,'ENE17'!$A$2:$A$48,0))</f>
        <v>348540</v>
      </c>
      <c r="AJ45" s="24">
        <f>AI45-AH45</f>
        <v>-35542.58972336899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152</v>
      </c>
      <c r="G51" s="193">
        <f>IFERROR(H51/F51,"")</f>
        <v>197.23272486842103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29979.374179999995</v>
      </c>
      <c r="I51" s="97">
        <f>SUMIFS($N$64:$N$509,$B$64:$B$509,$B51)-SUMIFS($O$64:$O$509,$B$64:$B$509,$B51)</f>
        <v>0</v>
      </c>
      <c r="J51" s="80">
        <f>SUMIFS($P$64:$P$509,$B$64:$B$509,$B51)</f>
        <v>152</v>
      </c>
      <c r="K51" s="80">
        <f>IFERROR(M51/J51,0)</f>
        <v>206.89486721055323</v>
      </c>
      <c r="L51" s="80">
        <f>SUMIFS($R$64:$R$509,$B$64:$B$509,$B51)+SUMIFS($Q$64:$Q$509,$B$64:$B$509,$B51)</f>
        <v>0</v>
      </c>
      <c r="M51" s="98">
        <f>SUMIFS($S$64:$S$509,$B$64:$B$509,$B51)</f>
        <v>31448.019816004093</v>
      </c>
      <c r="N51" s="80">
        <f>SUMIFS($V$64:$V$509,$B$64:$B$509,$B51)-SUMIFS($W$64:$W$509,$B$64:$B$509,$B51)</f>
        <v>-26</v>
      </c>
      <c r="O51" s="80">
        <f>SUMIFS($X$64:$X$509,$B$64:$B$509,$B51)</f>
        <v>126</v>
      </c>
      <c r="P51" s="80">
        <f>IFERROR(R51/O51,0)</f>
        <v>249.11243390853551</v>
      </c>
      <c r="Q51" s="80">
        <f>SUMIFS($Z$64:$Z$509,$B$64:$B$509,$B51)+SUMIFS($Y$64:$Y$509,$B$64:$B$509,$B51)</f>
        <v>-2726.2435517421845</v>
      </c>
      <c r="R51" s="80">
        <f>SUMIFS($AA$64:$AA$509,$B$64:$B$509,$B51)</f>
        <v>31388.166672475472</v>
      </c>
      <c r="S51" s="97">
        <f>SUMIFS($AD$64:$AD$509,$B$64:$B$509,$B51)-SUMIFS($AE$64:$AE$509,$B$64:$B$509,$B51)</f>
        <v>-1</v>
      </c>
      <c r="T51" s="80">
        <f>SUMIFS($AF$64:$AF$509,$B$64:$B$509,$B51)</f>
        <v>125</v>
      </c>
      <c r="U51" s="80">
        <f>IFERROR(W51/T51,0)</f>
        <v>269.95305287988424</v>
      </c>
      <c r="V51" s="80">
        <f>SUMIFS($AH$64:$AH$509,$B$64:$B$509,$B51)+SUMIFS($AG$64:$AG$509,$B$64:$B$509,$B51)</f>
        <v>-271.14315746884512</v>
      </c>
      <c r="W51" s="98">
        <f>SUMIFS($AI$64:$AI$509,$B$64:$B$509,$B51)</f>
        <v>33744.131609985532</v>
      </c>
      <c r="X51" s="80">
        <f>SUMIFS($AL$64:$AL$509,$B$64:$B$509,$B51)-SUMIFS($AM$64:$AM$509,$B$64:$B$509,$B51)</f>
        <v>-2</v>
      </c>
      <c r="Y51" s="80">
        <f>SUMIFS($AN$64:$AN$509,$B$64:$B$509,$B51)</f>
        <v>123</v>
      </c>
      <c r="Z51" s="80">
        <f>IFERROR(AB51/Y51,0)</f>
        <v>294.36388574309564</v>
      </c>
      <c r="AA51" s="80">
        <f>SUMIFS($AP$64:$AP$509,$B$64:$B$509,$B51)+SUMIFS($AO$64:$AO$509,$B$64:$B$509,$B51)</f>
        <v>-293.28568061747268</v>
      </c>
      <c r="AB51" s="98">
        <f>SUMIFS($AQ$64:$AQ$509,$B$64:$B$509,$B51)</f>
        <v>36206.757946400765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278</v>
      </c>
      <c r="G52" s="192">
        <f t="shared" ref="G52:G55" si="40">IFERROR(H52/F52,"")</f>
        <v>382.07842187050369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106217.80128000003</v>
      </c>
      <c r="I52" s="97">
        <f>SUMIFS($N$64:$N$509,$B$64:$B$509,$B52)-SUMIFS($O$64:$O$509,$B$64:$B$509,$B52)</f>
        <v>0</v>
      </c>
      <c r="J52" s="80">
        <f>SUMIFS($P$64:$P$509,$B$64:$B$509,$B52)</f>
        <v>278</v>
      </c>
      <c r="K52" s="80">
        <f t="shared" ref="K52:K56" si="41">IFERROR(M52/J52,0)</f>
        <v>413.79433441417774</v>
      </c>
      <c r="L52" s="80">
        <f>SUMIFS($R$64:$R$509,$B$64:$B$509,$B52)+SUMIFS($Q$64:$Q$509,$B$64:$B$509,$B52)</f>
        <v>0</v>
      </c>
      <c r="M52" s="98">
        <f>SUMIFS($S$64:$S$509,$B$64:$B$509,$B52)</f>
        <v>115034.82496714141</v>
      </c>
      <c r="N52" s="80">
        <f>SUMIFS($V$64:$V$509,$B$64:$B$509,$B52)-SUMIFS($W$64:$W$509,$B$64:$B$509,$B52)</f>
        <v>-2</v>
      </c>
      <c r="O52" s="80">
        <f>SUMIFS($X$64:$X$509,$B$64:$B$509,$B52)</f>
        <v>276</v>
      </c>
      <c r="P52" s="80">
        <f t="shared" ref="P52:P55" si="42">IFERROR(R52/O52,0)</f>
        <v>449.7987973948064</v>
      </c>
      <c r="Q52" s="80">
        <f>SUMIFS($Z$64:$Z$509,$B$64:$B$509,$B52)+SUMIFS($Y$64:$Y$509,$B$64:$B$509,$B52)</f>
        <v>-695.30254281629891</v>
      </c>
      <c r="R52" s="80">
        <f>SUMIFS($AA$64:$AA$509,$B$64:$B$509,$B52)</f>
        <v>124144.46808096656</v>
      </c>
      <c r="S52" s="97">
        <f>SUMIFS($AD$64:$AD$509,$B$64:$B$509,$B52)-SUMIFS($AE$64:$AE$509,$B$64:$B$509,$B52)</f>
        <v>0</v>
      </c>
      <c r="T52" s="80">
        <f>SUMIFS($AF$64:$AF$509,$B$64:$B$509,$B52)</f>
        <v>276</v>
      </c>
      <c r="U52" s="80">
        <f t="shared" ref="U52:U55" si="43">IFERROR(W52/T52,0)</f>
        <v>487.68174303480168</v>
      </c>
      <c r="V52" s="80">
        <f>SUMIFS($AH$64:$AH$509,$B$64:$B$509,$B52)+SUMIFS($AG$64:$AG$509,$B$64:$B$509,$B52)</f>
        <v>0</v>
      </c>
      <c r="W52" s="98">
        <f>SUMIFS($AI$64:$AI$509,$B$64:$B$509,$B52)</f>
        <v>134600.16107760527</v>
      </c>
      <c r="X52" s="80">
        <f>SUMIFS($AL$64:$AL$509,$B$64:$B$509,$B52)-SUMIFS($AM$64:$AM$509,$B$64:$B$509,$B52)</f>
        <v>-2</v>
      </c>
      <c r="Y52" s="80">
        <f>SUMIFS($AN$64:$AN$509,$B$64:$B$509,$B52)</f>
        <v>274</v>
      </c>
      <c r="Z52" s="80">
        <f t="shared" ref="Z52:Z55" si="44">IFERROR(AB52/Y52,0)</f>
        <v>528.22083915693338</v>
      </c>
      <c r="AA52" s="80">
        <f>SUMIFS($AP$64:$AP$509,$B$64:$B$509,$B52)+SUMIFS($AO$64:$AO$509,$B$64:$B$509,$B52)</f>
        <v>-930.98641323110178</v>
      </c>
      <c r="AB52" s="98">
        <f>SUMIFS($AQ$64:$AQ$509,$B$64:$B$509,$B52)</f>
        <v>144732.50992899973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97</v>
      </c>
      <c r="G53" s="192">
        <f t="shared" si="40"/>
        <v>679.47937896907206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65909.499759999992</v>
      </c>
      <c r="I53" s="97">
        <f>SUMIFS($N$64:$N$509,$B$64:$B$509,$B53)-SUMIFS($O$64:$O$509,$B$64:$B$509,$B53)</f>
        <v>0</v>
      </c>
      <c r="J53" s="80">
        <f>SUMIFS($P$64:$P$509,$B$64:$B$509,$B53)</f>
        <v>97</v>
      </c>
      <c r="K53" s="80">
        <f t="shared" si="41"/>
        <v>741.42595145874645</v>
      </c>
      <c r="L53" s="80">
        <f>SUMIFS($R$64:$R$509,$B$64:$B$509,$B53)+SUMIFS($Q$64:$Q$509,$B$64:$B$509,$B53)</f>
        <v>0</v>
      </c>
      <c r="M53" s="98">
        <f>SUMIFS($S$64:$S$509,$B$64:$B$509,$B53)</f>
        <v>71918.317291498402</v>
      </c>
      <c r="N53" s="80">
        <f>SUMIFS($V$64:$V$509,$B$64:$B$509,$B53)-SUMIFS($W$64:$W$509,$B$64:$B$509,$B53)</f>
        <v>0</v>
      </c>
      <c r="O53" s="80">
        <f>SUMIFS($X$64:$X$509,$B$64:$B$509,$B53)</f>
        <v>97</v>
      </c>
      <c r="P53" s="80">
        <f t="shared" si="42"/>
        <v>804.5088838676852</v>
      </c>
      <c r="Q53" s="80">
        <f>SUMIFS($Z$64:$Z$509,$B$64:$B$509,$B53)+SUMIFS($Y$64:$Y$509,$B$64:$B$509,$B53)</f>
        <v>0</v>
      </c>
      <c r="R53" s="80">
        <f>SUMIFS($AA$64:$AA$509,$B$64:$B$509,$B53)</f>
        <v>78037.361735165468</v>
      </c>
      <c r="S53" s="97">
        <f>SUMIFS($AD$64:$AD$509,$B$64:$B$509,$B53)-SUMIFS($AE$64:$AE$509,$B$64:$B$509,$B53)</f>
        <v>-1</v>
      </c>
      <c r="T53" s="80">
        <f>SUMIFS($AF$64:$AF$509,$B$64:$B$509,$B53)</f>
        <v>96</v>
      </c>
      <c r="U53" s="80">
        <f t="shared" si="43"/>
        <v>871.38096153376227</v>
      </c>
      <c r="V53" s="80">
        <f>SUMIFS($AH$64:$AH$509,$B$64:$B$509,$B53)+SUMIFS($AG$64:$AG$509,$B$64:$B$509,$B53)</f>
        <v>-945.33492533683193</v>
      </c>
      <c r="W53" s="98">
        <f>SUMIFS($AI$64:$AI$509,$B$64:$B$509,$B53)</f>
        <v>83652.572307241178</v>
      </c>
      <c r="X53" s="80">
        <f>SUMIFS($AL$64:$AL$509,$B$64:$B$509,$B53)-SUMIFS($AM$64:$AM$509,$B$64:$B$509,$B53)</f>
        <v>-1</v>
      </c>
      <c r="Y53" s="80">
        <f>SUMIFS($AN$64:$AN$509,$B$64:$B$509,$B53)</f>
        <v>95</v>
      </c>
      <c r="Z53" s="80">
        <f t="shared" si="44"/>
        <v>944.95896631537175</v>
      </c>
      <c r="AA53" s="80">
        <f>SUMIFS($AP$64:$AP$509,$B$64:$B$509,$B53)+SUMIFS($AO$64:$AO$509,$B$64:$B$509,$B53)</f>
        <v>-744.3543152331398</v>
      </c>
      <c r="AB53" s="98">
        <f>SUMIFS($AQ$64:$AQ$509,$B$64:$B$509,$B53)</f>
        <v>89771.101799960321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90</v>
      </c>
      <c r="G54" s="192">
        <f t="shared" si="40"/>
        <v>980.82554044444453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88274.298640000008</v>
      </c>
      <c r="I54" s="97">
        <f>SUMIFS($N$64:$N$509,$B$64:$B$509,$B54)-SUMIFS($O$64:$O$509,$B$64:$B$509,$B54)</f>
        <v>0</v>
      </c>
      <c r="J54" s="80">
        <f>SUMIFS($P$64:$P$509,$B$64:$B$509,$B54)</f>
        <v>90</v>
      </c>
      <c r="K54" s="80">
        <f t="shared" si="41"/>
        <v>1027.252505588011</v>
      </c>
      <c r="L54" s="80">
        <f>SUMIFS($R$64:$R$509,$B$64:$B$509,$B54)+SUMIFS($Q$64:$Q$509,$B$64:$B$509,$B54)</f>
        <v>0</v>
      </c>
      <c r="M54" s="98">
        <f>SUMIFS($S$64:$S$509,$B$64:$B$509,$B54)</f>
        <v>92452.725502920992</v>
      </c>
      <c r="N54" s="80">
        <f>SUMIFS($V$64:$V$509,$B$64:$B$509,$B54)-SUMIFS($W$64:$W$509,$B$64:$B$509,$B54)</f>
        <v>0</v>
      </c>
      <c r="O54" s="80">
        <f>SUMIFS($X$64:$X$509,$B$64:$B$509,$B54)</f>
        <v>90</v>
      </c>
      <c r="P54" s="80">
        <f t="shared" si="42"/>
        <v>1104.6491043132501</v>
      </c>
      <c r="Q54" s="80">
        <f>SUMIFS($Z$64:$Z$509,$B$64:$B$509,$B54)+SUMIFS($Y$64:$Y$509,$B$64:$B$509,$B54)</f>
        <v>0</v>
      </c>
      <c r="R54" s="80">
        <f>SUMIFS($AA$64:$AA$509,$B$64:$B$509,$B54)</f>
        <v>99418.419388192502</v>
      </c>
      <c r="S54" s="97">
        <f>SUMIFS($AD$64:$AD$509,$B$64:$B$509,$B54)-SUMIFS($AE$64:$AE$509,$B$64:$B$509,$B54)</f>
        <v>-3</v>
      </c>
      <c r="T54" s="80">
        <f>SUMIFS($AF$64:$AF$509,$B$64:$B$509,$B54)</f>
        <v>87</v>
      </c>
      <c r="U54" s="80">
        <f t="shared" si="43"/>
        <v>1184.5341660490717</v>
      </c>
      <c r="V54" s="80">
        <f>SUMIFS($AH$64:$AH$509,$B$64:$B$509,$B54)+SUMIFS($AG$64:$AG$509,$B$64:$B$509,$B54)</f>
        <v>-3753.6103206742923</v>
      </c>
      <c r="W54" s="98">
        <f>SUMIFS($AI$64:$AI$509,$B$64:$B$509,$B54)</f>
        <v>103054.47244626924</v>
      </c>
      <c r="X54" s="80">
        <f>SUMIFS($AL$64:$AL$509,$B$64:$B$509,$B54)-SUMIFS($AM$64:$AM$509,$B$64:$B$509,$B54)</f>
        <v>-2</v>
      </c>
      <c r="Y54" s="80">
        <f>SUMIFS($AN$64:$AN$509,$B$64:$B$509,$B54)</f>
        <v>85</v>
      </c>
      <c r="Z54" s="80">
        <f t="shared" si="44"/>
        <v>1273.0691900755887</v>
      </c>
      <c r="AA54" s="80">
        <f>SUMIFS($AP$64:$AP$509,$B$64:$B$509,$B54)+SUMIFS($AO$64:$AO$509,$B$64:$B$509,$B54)</f>
        <v>-2293.5047328043388</v>
      </c>
      <c r="AB54" s="98">
        <f>SUMIFS($AQ$64:$AQ$509,$B$64:$B$509,$B54)</f>
        <v>108210.88115642505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2</v>
      </c>
      <c r="G55" s="192">
        <f t="shared" si="40"/>
        <v>2105.5</v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4211</v>
      </c>
      <c r="I55" s="101">
        <f>SUMIFS($N$64:$N$509,$B$64:$B$509,$B55)-SUMIFS($O$64:$O$509,$B$64:$B$509,$B55)</f>
        <v>0</v>
      </c>
      <c r="J55" s="102">
        <f>SUMIFS($P$64:$P$509,$B$64:$B$509,$B55)</f>
        <v>2</v>
      </c>
      <c r="K55" s="102">
        <f t="shared" si="41"/>
        <v>2174.9814999999999</v>
      </c>
      <c r="L55" s="102">
        <f>SUMIFS($R$64:$R$509,$B$64:$B$509,$B55)+SUMIFS($Q$64:$Q$509,$B$64:$B$509,$B55)</f>
        <v>0</v>
      </c>
      <c r="M55" s="103">
        <f>SUMIFS($S$64:$S$509,$B$64:$B$509,$B55)</f>
        <v>4349.9629999999997</v>
      </c>
      <c r="N55" s="80">
        <f>SUMIFS($V$64:$V$509,$B$64:$B$509,$B55)-SUMIFS($W$64:$W$509,$B$64:$B$509,$B55)</f>
        <v>0</v>
      </c>
      <c r="O55" s="80">
        <f>SUMIFS($X$64:$X$509,$B$64:$B$509,$B55)</f>
        <v>2</v>
      </c>
      <c r="P55" s="80">
        <f t="shared" si="42"/>
        <v>2305.4803899999997</v>
      </c>
      <c r="Q55" s="80">
        <f>SUMIFS($Z$64:$Z$509,$B$64:$B$509,$B55)+SUMIFS($Y$64:$Y$509,$B$64:$B$509,$B55)</f>
        <v>0</v>
      </c>
      <c r="R55" s="80">
        <f>SUMIFS($AA$64:$AA$509,$B$64:$B$509,$B55)</f>
        <v>4610.9607799999994</v>
      </c>
      <c r="S55" s="101">
        <f>SUMIFS($AD$64:$AD$509,$B$64:$B$509,$B55)-SUMIFS($AE$64:$AE$509,$B$64:$B$509,$B55)</f>
        <v>0</v>
      </c>
      <c r="T55" s="102">
        <f>SUMIFS($AF$64:$AF$509,$B$64:$B$509,$B55)</f>
        <v>2</v>
      </c>
      <c r="U55" s="102">
        <f t="shared" si="43"/>
        <v>2441.5037330099999</v>
      </c>
      <c r="V55" s="102">
        <f>SUMIFS($AH$64:$AH$509,$B$64:$B$509,$B55)+SUMIFS($AG$64:$AG$509,$B$64:$B$509,$B55)</f>
        <v>0</v>
      </c>
      <c r="W55" s="103">
        <f>SUMIFS($AI$64:$AI$509,$B$64:$B$509,$B55)</f>
        <v>4883.0074660199998</v>
      </c>
      <c r="X55" s="80">
        <f>SUMIFS($AL$64:$AL$509,$B$64:$B$509,$B55)-SUMIFS($AM$64:$AM$509,$B$64:$B$509,$B55)</f>
        <v>0</v>
      </c>
      <c r="Y55" s="80">
        <f>SUMIFS($AN$64:$AN$509,$B$64:$B$509,$B55)</f>
        <v>2</v>
      </c>
      <c r="Z55" s="80">
        <f t="shared" si="44"/>
        <v>2580.6694457915701</v>
      </c>
      <c r="AA55" s="80">
        <f>SUMIFS($AP$64:$AP$509,$B$64:$B$509,$B55)+SUMIFS($AO$64:$AO$509,$B$64:$B$509,$B55)</f>
        <v>0</v>
      </c>
      <c r="AB55" s="98">
        <f>SUMIFS($AQ$64:$AQ$509,$B$64:$B$509,$B55)</f>
        <v>5161.3388915831401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619</v>
      </c>
      <c r="G56" s="92">
        <f t="shared" ref="G56" si="45">IFERROR(H56/F56,0)</f>
        <v>475.91595130856223</v>
      </c>
      <c r="H56" s="92">
        <f>SUM(H51:H55)</f>
        <v>294591.97386000003</v>
      </c>
      <c r="I56" s="92">
        <f>SUM(I51:I55)</f>
        <v>0</v>
      </c>
      <c r="J56" s="92">
        <f>SUM(J51:J55)</f>
        <v>619</v>
      </c>
      <c r="K56" s="92">
        <f t="shared" si="41"/>
        <v>509.2146212884731</v>
      </c>
      <c r="L56" s="92">
        <f>SUM(L51:L55)</f>
        <v>0</v>
      </c>
      <c r="M56" s="92">
        <f>SUM(M51:M55)</f>
        <v>315203.85057756485</v>
      </c>
      <c r="N56" s="92">
        <f t="shared" ref="N56:O56" si="46">SUM(N51:N55)</f>
        <v>-28</v>
      </c>
      <c r="O56" s="92">
        <f t="shared" si="46"/>
        <v>591</v>
      </c>
      <c r="P56" s="92">
        <f>IFERROR(R56/O56,0)</f>
        <v>571.23413985922161</v>
      </c>
      <c r="Q56" s="92">
        <f t="shared" ref="Q56" si="47">SUM(Q51:Q55)</f>
        <v>-3421.5460945584837</v>
      </c>
      <c r="R56" s="92">
        <f t="shared" ref="R56:T56" si="48">SUM(R51:R55)</f>
        <v>337599.37665679998</v>
      </c>
      <c r="S56" s="92">
        <f t="shared" si="48"/>
        <v>-5</v>
      </c>
      <c r="T56" s="92">
        <f t="shared" si="48"/>
        <v>586</v>
      </c>
      <c r="U56" s="92">
        <f>IFERROR(W56/T56,0)</f>
        <v>614.22243158211813</v>
      </c>
      <c r="V56" s="92">
        <f t="shared" ref="V56" si="49">SUM(V51:V55)</f>
        <v>-4970.0884034799692</v>
      </c>
      <c r="W56" s="92">
        <f t="shared" ref="W56:Y56" si="50">SUM(W51:W55)</f>
        <v>359934.34490712121</v>
      </c>
      <c r="X56" s="92">
        <f t="shared" si="50"/>
        <v>-7</v>
      </c>
      <c r="Y56" s="92">
        <f t="shared" si="50"/>
        <v>579</v>
      </c>
      <c r="Z56" s="92">
        <f>IFERROR(AB56/Y56,0)</f>
        <v>663.35507724243348</v>
      </c>
      <c r="AA56" s="92">
        <f t="shared" ref="AA56" si="51">SUM(AA51:AA55)</f>
        <v>-4262.1311418860532</v>
      </c>
      <c r="AB56" s="104">
        <f t="shared" ref="AB56" si="52">SUM(AB51:AB55)</f>
        <v>384082.58972336899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1030.8239700000004</v>
      </c>
      <c r="H64" s="35">
        <f>IFERROR(G64/F64,0)</f>
        <v>0</v>
      </c>
      <c r="I64" s="156" t="s">
        <v>754</v>
      </c>
      <c r="J64" s="211" t="s">
        <v>754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9</v>
      </c>
      <c r="G65" s="35">
        <f>SUMIFS(WORKING!$AC$3:$AC$6802,WORKING!$A$3:$A$6802,Results!$D$3,WORKING!$B$3:$B$6802,Results!A65,WORKING!$C$3:$C$6802,Results!C65)/1000</f>
        <v>880.81358999999998</v>
      </c>
      <c r="H65" s="35">
        <f t="shared" ref="H65:H80" si="60">IFERROR(G65/F65,0)</f>
        <v>97.86817666666667</v>
      </c>
      <c r="I65" s="187">
        <v>14</v>
      </c>
      <c r="J65" s="212" t="s">
        <v>754</v>
      </c>
      <c r="K65" s="217">
        <f t="shared" ref="K65:K80" si="61">IFERROR(IF(J65="",G65,J65)/IF(I65="",F65,I65),"")</f>
        <v>62.915256428571425</v>
      </c>
      <c r="L65" s="34">
        <f t="shared" si="54"/>
        <v>14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68.712268155899991</v>
      </c>
      <c r="N65" s="57">
        <v>0</v>
      </c>
      <c r="O65" s="57">
        <v>0</v>
      </c>
      <c r="P65" s="61">
        <f t="shared" si="55"/>
        <v>14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961.97175418259985</v>
      </c>
      <c r="T65" s="35">
        <f t="shared" ref="T65:T80" si="65">P65</f>
        <v>14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74.624958830715187</v>
      </c>
      <c r="V65" s="57">
        <v>0</v>
      </c>
      <c r="W65" s="57">
        <v>14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-1044.7494236300126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80.97069220488504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87.691664511351519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4</v>
      </c>
      <c r="G66" s="35">
        <f>SUMIFS(WORKING!$AC$3:$AC$6802,WORKING!$A$3:$A$6802,Results!$D$3,WORKING!$B$3:$B$6802,Results!A66,WORKING!$C$3:$C$6802,Results!C66)/1000</f>
        <v>529.52638999999999</v>
      </c>
      <c r="H66" s="35">
        <f t="shared" si="60"/>
        <v>132.3815975</v>
      </c>
      <c r="I66" s="187">
        <v>4</v>
      </c>
      <c r="J66" s="212" t="s">
        <v>754</v>
      </c>
      <c r="K66" s="217">
        <f t="shared" si="61"/>
        <v>132.3815975</v>
      </c>
      <c r="L66" s="34">
        <f t="shared" si="54"/>
        <v>4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144.05048539297866</v>
      </c>
      <c r="N66" s="57">
        <v>0</v>
      </c>
      <c r="O66" s="57">
        <v>0</v>
      </c>
      <c r="P66" s="61">
        <f t="shared" si="55"/>
        <v>4</v>
      </c>
      <c r="Q66" s="40">
        <f t="shared" si="62"/>
        <v>0</v>
      </c>
      <c r="R66" s="40">
        <f t="shared" si="63"/>
        <v>0</v>
      </c>
      <c r="S66" s="44">
        <f t="shared" si="64"/>
        <v>576.20194157191463</v>
      </c>
      <c r="T66" s="35">
        <f t="shared" si="65"/>
        <v>4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156.27920935791786</v>
      </c>
      <c r="V66" s="57">
        <v>0</v>
      </c>
      <c r="W66" s="57">
        <v>2</v>
      </c>
      <c r="X66" s="61">
        <f t="shared" si="56"/>
        <v>2</v>
      </c>
      <c r="Y66" s="40">
        <f t="shared" si="66"/>
        <v>0</v>
      </c>
      <c r="Z66" s="40">
        <f t="shared" si="67"/>
        <v>-312.55841871583573</v>
      </c>
      <c r="AA66" s="44">
        <f t="shared" si="68"/>
        <v>312.55841871583573</v>
      </c>
      <c r="AB66" s="35">
        <f t="shared" si="69"/>
        <v>2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169.38775056822178</v>
      </c>
      <c r="AD66" s="57">
        <v>0</v>
      </c>
      <c r="AE66" s="57">
        <v>0</v>
      </c>
      <c r="AF66" s="61">
        <f t="shared" si="57"/>
        <v>2</v>
      </c>
      <c r="AG66" s="40">
        <f t="shared" si="70"/>
        <v>0</v>
      </c>
      <c r="AH66" s="40">
        <f t="shared" si="71"/>
        <v>0</v>
      </c>
      <c r="AI66" s="44">
        <f t="shared" si="72"/>
        <v>338.77550113644355</v>
      </c>
      <c r="AJ66" s="35">
        <f t="shared" si="58"/>
        <v>2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183.25266083309194</v>
      </c>
      <c r="AL66" s="57">
        <v>0</v>
      </c>
      <c r="AM66" s="57">
        <v>0</v>
      </c>
      <c r="AN66" s="61">
        <f t="shared" si="59"/>
        <v>2</v>
      </c>
      <c r="AO66" s="40">
        <f t="shared" si="73"/>
        <v>0</v>
      </c>
      <c r="AP66" s="40">
        <f t="shared" si="74"/>
        <v>0</v>
      </c>
      <c r="AQ66" s="44">
        <f t="shared" si="75"/>
        <v>366.50532166618387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1</v>
      </c>
      <c r="G67" s="35">
        <f>SUMIFS(WORKING!$AC$3:$AC$6802,WORKING!$A$3:$A$6802,Results!$D$3,WORKING!$B$3:$B$6802,Results!A67,WORKING!$C$3:$C$6802,Results!C67)/1000</f>
        <v>102.24778999999999</v>
      </c>
      <c r="H67" s="35">
        <f t="shared" si="60"/>
        <v>102.24778999999999</v>
      </c>
      <c r="I67" s="187">
        <v>1</v>
      </c>
      <c r="J67" s="212" t="s">
        <v>754</v>
      </c>
      <c r="K67" s="217">
        <f t="shared" si="61"/>
        <v>102.24778999999999</v>
      </c>
      <c r="L67" s="34">
        <f t="shared" si="54"/>
        <v>1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111.668148601</v>
      </c>
      <c r="N67" s="57">
        <v>0</v>
      </c>
      <c r="O67" s="57">
        <v>0</v>
      </c>
      <c r="P67" s="61">
        <f t="shared" si="55"/>
        <v>1</v>
      </c>
      <c r="Q67" s="40">
        <f t="shared" si="62"/>
        <v>0</v>
      </c>
      <c r="R67" s="40">
        <f t="shared" si="63"/>
        <v>0</v>
      </c>
      <c r="S67" s="44">
        <f t="shared" si="64"/>
        <v>111.668148601</v>
      </c>
      <c r="T67" s="35">
        <f t="shared" si="65"/>
        <v>1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121.27637524820312</v>
      </c>
      <c r="V67" s="57">
        <v>0</v>
      </c>
      <c r="W67" s="57">
        <v>1</v>
      </c>
      <c r="X67" s="61">
        <f t="shared" si="56"/>
        <v>0</v>
      </c>
      <c r="Y67" s="40">
        <f t="shared" si="66"/>
        <v>0</v>
      </c>
      <c r="Z67" s="40">
        <f t="shared" si="67"/>
        <v>-121.27637524820312</v>
      </c>
      <c r="AA67" s="44">
        <f t="shared" si="68"/>
        <v>0</v>
      </c>
      <c r="AB67" s="35">
        <f t="shared" si="69"/>
        <v>0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131.58822476399439</v>
      </c>
      <c r="AD67" s="57">
        <v>0</v>
      </c>
      <c r="AE67" s="57">
        <v>0</v>
      </c>
      <c r="AF67" s="61">
        <f t="shared" si="57"/>
        <v>0</v>
      </c>
      <c r="AG67" s="40">
        <f t="shared" si="70"/>
        <v>0</v>
      </c>
      <c r="AH67" s="40">
        <f t="shared" si="71"/>
        <v>0</v>
      </c>
      <c r="AI67" s="44">
        <f t="shared" si="72"/>
        <v>0</v>
      </c>
      <c r="AJ67" s="35">
        <f t="shared" si="58"/>
        <v>0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142.50974468369535</v>
      </c>
      <c r="AL67" s="57">
        <v>0</v>
      </c>
      <c r="AM67" s="57">
        <v>0</v>
      </c>
      <c r="AN67" s="61">
        <f t="shared" si="59"/>
        <v>0</v>
      </c>
      <c r="AO67" s="40">
        <f t="shared" si="73"/>
        <v>0</v>
      </c>
      <c r="AP67" s="40">
        <f t="shared" si="74"/>
        <v>0</v>
      </c>
      <c r="AQ67" s="44">
        <f t="shared" si="75"/>
        <v>0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64</v>
      </c>
      <c r="G68" s="35">
        <f>SUMIFS(WORKING!$AC$3:$AC$6802,WORKING!$A$3:$A$6802,Results!$D$3,WORKING!$B$3:$B$6802,Results!A68,WORKING!$C$3:$C$6802,Results!C68)/1000</f>
        <v>13363.516049999998</v>
      </c>
      <c r="H68" s="35">
        <f t="shared" si="60"/>
        <v>208.80493828124997</v>
      </c>
      <c r="I68" s="187">
        <v>63</v>
      </c>
      <c r="J68" s="212" t="s">
        <v>754</v>
      </c>
      <c r="K68" s="217">
        <f t="shared" si="61"/>
        <v>212.11930238095235</v>
      </c>
      <c r="L68" s="34">
        <f t="shared" si="54"/>
        <v>63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230.66542445572054</v>
      </c>
      <c r="N68" s="57">
        <v>0</v>
      </c>
      <c r="O68" s="57">
        <v>0</v>
      </c>
      <c r="P68" s="61">
        <f t="shared" si="55"/>
        <v>63</v>
      </c>
      <c r="Q68" s="40">
        <f t="shared" si="62"/>
        <v>0</v>
      </c>
      <c r="R68" s="40">
        <f t="shared" si="63"/>
        <v>0</v>
      </c>
      <c r="S68" s="44">
        <f t="shared" si="64"/>
        <v>14531.921740710393</v>
      </c>
      <c r="T68" s="35">
        <f t="shared" si="65"/>
        <v>63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250.20358020779884</v>
      </c>
      <c r="V68" s="57">
        <v>0</v>
      </c>
      <c r="W68" s="57">
        <v>2</v>
      </c>
      <c r="X68" s="61">
        <f t="shared" si="56"/>
        <v>61</v>
      </c>
      <c r="Y68" s="40">
        <f t="shared" si="66"/>
        <v>0</v>
      </c>
      <c r="Z68" s="40">
        <f t="shared" si="67"/>
        <v>-500.40716041559767</v>
      </c>
      <c r="AA68" s="44">
        <f t="shared" si="68"/>
        <v>15262.418392675729</v>
      </c>
      <c r="AB68" s="35">
        <f t="shared" si="69"/>
        <v>61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271.14315746884512</v>
      </c>
      <c r="AD68" s="57">
        <v>0</v>
      </c>
      <c r="AE68" s="57">
        <v>1</v>
      </c>
      <c r="AF68" s="61">
        <f t="shared" si="57"/>
        <v>60</v>
      </c>
      <c r="AG68" s="40">
        <f t="shared" si="70"/>
        <v>0</v>
      </c>
      <c r="AH68" s="40">
        <f t="shared" si="71"/>
        <v>-271.14315746884512</v>
      </c>
      <c r="AI68" s="44">
        <f t="shared" si="72"/>
        <v>16268.589448130708</v>
      </c>
      <c r="AJ68" s="35">
        <f t="shared" si="58"/>
        <v>60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293.28568061747268</v>
      </c>
      <c r="AL68" s="57">
        <v>0</v>
      </c>
      <c r="AM68" s="57">
        <v>1</v>
      </c>
      <c r="AN68" s="61">
        <f t="shared" si="59"/>
        <v>59</v>
      </c>
      <c r="AO68" s="40">
        <f t="shared" si="73"/>
        <v>0</v>
      </c>
      <c r="AP68" s="40">
        <f t="shared" si="74"/>
        <v>-293.28568061747268</v>
      </c>
      <c r="AQ68" s="44">
        <f t="shared" si="75"/>
        <v>17303.855156430887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21</v>
      </c>
      <c r="G69" s="35">
        <f>SUMIFS(WORKING!$AC$3:$AC$6802,WORKING!$A$3:$A$6802,Results!$D$3,WORKING!$B$3:$B$6802,Results!A69,WORKING!$C$3:$C$6802,Results!C69)/1000</f>
        <v>5429.6084000000001</v>
      </c>
      <c r="H69" s="35">
        <f t="shared" si="60"/>
        <v>258.55278095238094</v>
      </c>
      <c r="I69" s="187">
        <v>18</v>
      </c>
      <c r="J69" s="212" t="s">
        <v>754</v>
      </c>
      <c r="K69" s="217">
        <f t="shared" si="61"/>
        <v>301.64491111111113</v>
      </c>
      <c r="L69" s="34">
        <f t="shared" si="54"/>
        <v>18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328.10084915431696</v>
      </c>
      <c r="N69" s="57">
        <v>0</v>
      </c>
      <c r="O69" s="57">
        <v>0</v>
      </c>
      <c r="P69" s="61">
        <f t="shared" si="55"/>
        <v>18</v>
      </c>
      <c r="Q69" s="40">
        <f t="shared" si="62"/>
        <v>0</v>
      </c>
      <c r="R69" s="40">
        <f t="shared" si="63"/>
        <v>0</v>
      </c>
      <c r="S69" s="44">
        <f t="shared" si="64"/>
        <v>5905.8152847777055</v>
      </c>
      <c r="T69" s="35">
        <f t="shared" si="65"/>
        <v>18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355.91862826838991</v>
      </c>
      <c r="V69" s="57">
        <v>0</v>
      </c>
      <c r="W69" s="57">
        <v>0</v>
      </c>
      <c r="X69" s="61">
        <f t="shared" si="56"/>
        <v>18</v>
      </c>
      <c r="Y69" s="40">
        <f t="shared" si="66"/>
        <v>0</v>
      </c>
      <c r="Z69" s="40">
        <f t="shared" si="67"/>
        <v>0</v>
      </c>
      <c r="AA69" s="44">
        <f t="shared" si="68"/>
        <v>6406.5353088310185</v>
      </c>
      <c r="AB69" s="35">
        <f t="shared" si="69"/>
        <v>18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385.73419837934296</v>
      </c>
      <c r="AD69" s="57">
        <v>0</v>
      </c>
      <c r="AE69" s="57">
        <v>0</v>
      </c>
      <c r="AF69" s="61">
        <f t="shared" si="57"/>
        <v>18</v>
      </c>
      <c r="AG69" s="40">
        <f t="shared" si="70"/>
        <v>0</v>
      </c>
      <c r="AH69" s="40">
        <f t="shared" si="71"/>
        <v>0</v>
      </c>
      <c r="AI69" s="44">
        <f t="shared" si="72"/>
        <v>6943.2155708281734</v>
      </c>
      <c r="AJ69" s="35">
        <f t="shared" si="58"/>
        <v>18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417.26556969969613</v>
      </c>
      <c r="AL69" s="57">
        <v>0</v>
      </c>
      <c r="AM69" s="57">
        <v>0</v>
      </c>
      <c r="AN69" s="61">
        <f t="shared" si="59"/>
        <v>18</v>
      </c>
      <c r="AO69" s="40">
        <f t="shared" si="73"/>
        <v>0</v>
      </c>
      <c r="AP69" s="40">
        <f t="shared" si="74"/>
        <v>0</v>
      </c>
      <c r="AQ69" s="44">
        <f t="shared" si="75"/>
        <v>7510.7802545945306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49</v>
      </c>
      <c r="G70" s="35">
        <f>SUMIFS(WORKING!$AC$3:$AC$6802,WORKING!$A$3:$A$6802,Results!$D$3,WORKING!$B$3:$B$6802,Results!A70,WORKING!$C$3:$C$6802,Results!C70)/1000</f>
        <v>15179.21746</v>
      </c>
      <c r="H70" s="35">
        <f t="shared" si="60"/>
        <v>309.77994816326532</v>
      </c>
      <c r="I70" s="187">
        <v>49</v>
      </c>
      <c r="J70" s="212" t="s">
        <v>754</v>
      </c>
      <c r="K70" s="217">
        <f t="shared" si="61"/>
        <v>309.77994816326532</v>
      </c>
      <c r="L70" s="34">
        <f t="shared" si="54"/>
        <v>49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337.23923789649683</v>
      </c>
      <c r="N70" s="57">
        <v>0</v>
      </c>
      <c r="O70" s="57">
        <v>0</v>
      </c>
      <c r="P70" s="61">
        <f t="shared" si="55"/>
        <v>49</v>
      </c>
      <c r="Q70" s="40">
        <f t="shared" si="62"/>
        <v>0</v>
      </c>
      <c r="R70" s="40">
        <f t="shared" si="63"/>
        <v>0</v>
      </c>
      <c r="S70" s="44">
        <f t="shared" si="64"/>
        <v>16524.722656928345</v>
      </c>
      <c r="T70" s="35">
        <f t="shared" si="65"/>
        <v>49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365.92129684272385</v>
      </c>
      <c r="V70" s="57">
        <v>0</v>
      </c>
      <c r="W70" s="57">
        <v>1</v>
      </c>
      <c r="X70" s="61">
        <f t="shared" si="56"/>
        <v>48</v>
      </c>
      <c r="Y70" s="40">
        <f t="shared" si="66"/>
        <v>0</v>
      </c>
      <c r="Z70" s="40">
        <f t="shared" si="67"/>
        <v>-365.92129684272385</v>
      </c>
      <c r="AA70" s="44">
        <f t="shared" si="68"/>
        <v>17564.222248450744</v>
      </c>
      <c r="AB70" s="35">
        <f t="shared" si="69"/>
        <v>48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396.67181325583681</v>
      </c>
      <c r="AD70" s="57">
        <v>0</v>
      </c>
      <c r="AE70" s="57">
        <v>0</v>
      </c>
      <c r="AF70" s="61">
        <f t="shared" si="57"/>
        <v>48</v>
      </c>
      <c r="AG70" s="40">
        <f t="shared" si="70"/>
        <v>0</v>
      </c>
      <c r="AH70" s="40">
        <f t="shared" si="71"/>
        <v>0</v>
      </c>
      <c r="AI70" s="44">
        <f t="shared" si="72"/>
        <v>19040.247036280169</v>
      </c>
      <c r="AJ70" s="35">
        <f t="shared" si="58"/>
        <v>48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429.20225193129892</v>
      </c>
      <c r="AL70" s="57">
        <v>0</v>
      </c>
      <c r="AM70" s="57">
        <v>0</v>
      </c>
      <c r="AN70" s="61">
        <f t="shared" si="59"/>
        <v>48</v>
      </c>
      <c r="AO70" s="40">
        <f t="shared" si="73"/>
        <v>0</v>
      </c>
      <c r="AP70" s="40">
        <f t="shared" si="74"/>
        <v>0</v>
      </c>
      <c r="AQ70" s="44">
        <f t="shared" si="75"/>
        <v>20601.708092702349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29</v>
      </c>
      <c r="G71" s="35">
        <f>SUMIFS(WORKING!$AC$3:$AC$6802,WORKING!$A$3:$A$6802,Results!$D$3,WORKING!$B$3:$B$6802,Results!A71,WORKING!$C$3:$C$6802,Results!C71)/1000</f>
        <v>10058.91971</v>
      </c>
      <c r="H71" s="35">
        <f>IFERROR(G71/F71,0)</f>
        <v>346.8593003448276</v>
      </c>
      <c r="I71" s="187">
        <v>29</v>
      </c>
      <c r="J71" s="212" t="s">
        <v>754</v>
      </c>
      <c r="K71" s="217">
        <f t="shared" si="61"/>
        <v>346.8593003448276</v>
      </c>
      <c r="L71" s="34">
        <f t="shared" si="54"/>
        <v>29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377.77575251316995</v>
      </c>
      <c r="N71" s="57">
        <v>0</v>
      </c>
      <c r="O71" s="57">
        <v>0</v>
      </c>
      <c r="P71" s="61">
        <f t="shared" si="55"/>
        <v>29</v>
      </c>
      <c r="Q71" s="40">
        <f t="shared" si="62"/>
        <v>0</v>
      </c>
      <c r="R71" s="40">
        <f t="shared" si="63"/>
        <v>0</v>
      </c>
      <c r="S71" s="44">
        <f t="shared" si="64"/>
        <v>10955.496822881929</v>
      </c>
      <c r="T71" s="35">
        <f t="shared" si="65"/>
        <v>29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409.95997922566244</v>
      </c>
      <c r="V71" s="57">
        <v>0</v>
      </c>
      <c r="W71" s="57">
        <v>0</v>
      </c>
      <c r="X71" s="61">
        <f t="shared" si="56"/>
        <v>29</v>
      </c>
      <c r="Y71" s="40">
        <f t="shared" si="66"/>
        <v>0</v>
      </c>
      <c r="Z71" s="40">
        <f t="shared" si="67"/>
        <v>0</v>
      </c>
      <c r="AA71" s="44">
        <f t="shared" si="68"/>
        <v>11888.83939754421</v>
      </c>
      <c r="AB71" s="35">
        <f t="shared" si="69"/>
        <v>29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444.47037730307466</v>
      </c>
      <c r="AD71" s="57">
        <v>0</v>
      </c>
      <c r="AE71" s="57">
        <v>0</v>
      </c>
      <c r="AF71" s="61">
        <f t="shared" si="57"/>
        <v>29</v>
      </c>
      <c r="AG71" s="40">
        <f t="shared" si="70"/>
        <v>0</v>
      </c>
      <c r="AH71" s="40">
        <f t="shared" si="71"/>
        <v>0</v>
      </c>
      <c r="AI71" s="44">
        <f t="shared" si="72"/>
        <v>12889.640941789165</v>
      </c>
      <c r="AJ71" s="35">
        <f t="shared" si="58"/>
        <v>29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480.98440224869665</v>
      </c>
      <c r="AL71" s="57">
        <v>0</v>
      </c>
      <c r="AM71" s="57">
        <v>0</v>
      </c>
      <c r="AN71" s="61">
        <f t="shared" si="59"/>
        <v>29</v>
      </c>
      <c r="AO71" s="40">
        <f t="shared" si="73"/>
        <v>0</v>
      </c>
      <c r="AP71" s="40">
        <f t="shared" si="74"/>
        <v>0</v>
      </c>
      <c r="AQ71" s="44">
        <f t="shared" si="75"/>
        <v>13948.547665212203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32</v>
      </c>
      <c r="G72" s="35">
        <f>SUMIFS(WORKING!$AC$3:$AC$6802,WORKING!$A$3:$A$6802,Results!$D$3,WORKING!$B$3:$B$6802,Results!A72,WORKING!$C$3:$C$6802,Results!C72)/1000</f>
        <v>13402.48148</v>
      </c>
      <c r="H72" s="35">
        <f t="shared" si="60"/>
        <v>418.82754625000001</v>
      </c>
      <c r="I72" s="187">
        <v>35</v>
      </c>
      <c r="J72" s="212" t="s">
        <v>754</v>
      </c>
      <c r="K72" s="217">
        <f>IFERROR(IF(J72="",G72,J72)/IF(I72="",F72,I72),"")</f>
        <v>382.9280422857143</v>
      </c>
      <c r="L72" s="34">
        <f t="shared" si="54"/>
        <v>35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417.19582471564752</v>
      </c>
      <c r="N72" s="57">
        <v>0</v>
      </c>
      <c r="O72" s="57">
        <v>0</v>
      </c>
      <c r="P72" s="61">
        <f t="shared" si="55"/>
        <v>35</v>
      </c>
      <c r="Q72" s="40">
        <f t="shared" si="62"/>
        <v>0</v>
      </c>
      <c r="R72" s="40">
        <f t="shared" si="63"/>
        <v>0</v>
      </c>
      <c r="S72" s="44">
        <f t="shared" si="64"/>
        <v>14601.853865047664</v>
      </c>
      <c r="T72" s="35">
        <f t="shared" si="65"/>
        <v>35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452.7789941921435</v>
      </c>
      <c r="V72" s="57">
        <v>0</v>
      </c>
      <c r="W72" s="57">
        <v>0</v>
      </c>
      <c r="X72" s="61">
        <f t="shared" si="56"/>
        <v>35</v>
      </c>
      <c r="Y72" s="40">
        <f t="shared" si="66"/>
        <v>0</v>
      </c>
      <c r="Z72" s="40">
        <f t="shared" si="67"/>
        <v>0</v>
      </c>
      <c r="AA72" s="44">
        <f t="shared" si="68"/>
        <v>15847.264796725023</v>
      </c>
      <c r="AB72" s="35">
        <f t="shared" si="69"/>
        <v>35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490.93798915341063</v>
      </c>
      <c r="AD72" s="57">
        <v>0</v>
      </c>
      <c r="AE72" s="57">
        <v>0</v>
      </c>
      <c r="AF72" s="61">
        <f t="shared" si="57"/>
        <v>35</v>
      </c>
      <c r="AG72" s="40">
        <f t="shared" si="70"/>
        <v>0</v>
      </c>
      <c r="AH72" s="40">
        <f t="shared" si="71"/>
        <v>0</v>
      </c>
      <c r="AI72" s="44">
        <f t="shared" si="72"/>
        <v>17182.829620369372</v>
      </c>
      <c r="AJ72" s="35">
        <f t="shared" si="58"/>
        <v>35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531.31731879789163</v>
      </c>
      <c r="AL72" s="57">
        <v>0</v>
      </c>
      <c r="AM72" s="57">
        <v>1</v>
      </c>
      <c r="AN72" s="61">
        <f t="shared" si="59"/>
        <v>34</v>
      </c>
      <c r="AO72" s="40">
        <f t="shared" si="73"/>
        <v>0</v>
      </c>
      <c r="AP72" s="40">
        <f t="shared" si="74"/>
        <v>-531.31731879789163</v>
      </c>
      <c r="AQ72" s="44">
        <f t="shared" si="75"/>
        <v>18064.788839128316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13</v>
      </c>
      <c r="G73" s="35">
        <f>SUMIFS(WORKING!$AC$3:$AC$6802,WORKING!$A$3:$A$6802,Results!$D$3,WORKING!$B$3:$B$6802,Results!A73,WORKING!$C$3:$C$6802,Results!C73)/1000</f>
        <v>7093.6353200000003</v>
      </c>
      <c r="H73" s="35">
        <f t="shared" si="60"/>
        <v>545.66425538461544</v>
      </c>
      <c r="I73" s="187">
        <v>13</v>
      </c>
      <c r="J73" s="212" t="s">
        <v>754</v>
      </c>
      <c r="K73" s="217">
        <f t="shared" si="61"/>
        <v>545.66425538461544</v>
      </c>
      <c r="L73" s="34">
        <f t="shared" si="54"/>
        <v>13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594.70151365685035</v>
      </c>
      <c r="N73" s="57">
        <v>0</v>
      </c>
      <c r="O73" s="57">
        <v>0</v>
      </c>
      <c r="P73" s="61">
        <f t="shared" si="55"/>
        <v>13</v>
      </c>
      <c r="Q73" s="40">
        <f t="shared" si="62"/>
        <v>0</v>
      </c>
      <c r="R73" s="40">
        <f t="shared" si="63"/>
        <v>0</v>
      </c>
      <c r="S73" s="44">
        <f t="shared" si="64"/>
        <v>7731.1196775390545</v>
      </c>
      <c r="T73" s="35">
        <f t="shared" si="65"/>
        <v>13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645.4895994797422</v>
      </c>
      <c r="V73" s="57">
        <v>0</v>
      </c>
      <c r="W73" s="57">
        <v>0</v>
      </c>
      <c r="X73" s="61">
        <f t="shared" si="56"/>
        <v>13</v>
      </c>
      <c r="Y73" s="40">
        <f t="shared" si="66"/>
        <v>0</v>
      </c>
      <c r="Z73" s="40">
        <f t="shared" si="67"/>
        <v>0</v>
      </c>
      <c r="AA73" s="44">
        <f t="shared" si="68"/>
        <v>8391.3647932366493</v>
      </c>
      <c r="AB73" s="35">
        <f t="shared" si="69"/>
        <v>13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699.96039108513503</v>
      </c>
      <c r="AD73" s="57">
        <v>0</v>
      </c>
      <c r="AE73" s="57">
        <v>0</v>
      </c>
      <c r="AF73" s="61">
        <f t="shared" si="57"/>
        <v>13</v>
      </c>
      <c r="AG73" s="40">
        <f t="shared" si="70"/>
        <v>0</v>
      </c>
      <c r="AH73" s="40">
        <f t="shared" si="71"/>
        <v>0</v>
      </c>
      <c r="AI73" s="44">
        <f t="shared" si="72"/>
        <v>9099.4850841067546</v>
      </c>
      <c r="AJ73" s="35">
        <f t="shared" si="58"/>
        <v>13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757.6080187232576</v>
      </c>
      <c r="AL73" s="57">
        <v>0</v>
      </c>
      <c r="AM73" s="57">
        <v>0</v>
      </c>
      <c r="AN73" s="61">
        <f t="shared" si="59"/>
        <v>13</v>
      </c>
      <c r="AO73" s="40">
        <f t="shared" si="73"/>
        <v>0</v>
      </c>
      <c r="AP73" s="40">
        <f t="shared" si="74"/>
        <v>0</v>
      </c>
      <c r="AQ73" s="44">
        <f t="shared" si="75"/>
        <v>9848.9042434023486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29</v>
      </c>
      <c r="G74" s="35">
        <f>SUMIFS(WORKING!$AC$3:$AC$6802,WORKING!$A$3:$A$6802,Results!$D$3,WORKING!$B$3:$B$6802,Results!A74,WORKING!$C$3:$C$6802,Results!C74)/1000</f>
        <v>18408.448969999998</v>
      </c>
      <c r="H74" s="35">
        <f t="shared" si="60"/>
        <v>634.774102413793</v>
      </c>
      <c r="I74" s="187">
        <v>25</v>
      </c>
      <c r="J74" s="212" t="s">
        <v>754</v>
      </c>
      <c r="K74" s="217">
        <f t="shared" si="61"/>
        <v>736.33795879999991</v>
      </c>
      <c r="L74" s="34">
        <f t="shared" si="54"/>
        <v>25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803.52805963542392</v>
      </c>
      <c r="N74" s="57">
        <v>0</v>
      </c>
      <c r="O74" s="57">
        <v>0</v>
      </c>
      <c r="P74" s="61">
        <f t="shared" si="55"/>
        <v>25</v>
      </c>
      <c r="Q74" s="40">
        <f t="shared" si="62"/>
        <v>0</v>
      </c>
      <c r="R74" s="40">
        <f t="shared" si="63"/>
        <v>0</v>
      </c>
      <c r="S74" s="44">
        <f t="shared" si="64"/>
        <v>20088.201490885596</v>
      </c>
      <c r="T74" s="35">
        <f t="shared" si="65"/>
        <v>25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871.95969621534414</v>
      </c>
      <c r="V74" s="57">
        <v>0</v>
      </c>
      <c r="W74" s="57">
        <v>0</v>
      </c>
      <c r="X74" s="61">
        <f t="shared" si="56"/>
        <v>25</v>
      </c>
      <c r="Y74" s="40">
        <f t="shared" si="66"/>
        <v>0</v>
      </c>
      <c r="Z74" s="40">
        <f t="shared" si="67"/>
        <v>0</v>
      </c>
      <c r="AA74" s="44">
        <f t="shared" si="68"/>
        <v>21798.992405383604</v>
      </c>
      <c r="AB74" s="35">
        <f t="shared" si="69"/>
        <v>25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945.33492533683193</v>
      </c>
      <c r="AD74" s="57">
        <v>0</v>
      </c>
      <c r="AE74" s="57">
        <v>1</v>
      </c>
      <c r="AF74" s="61">
        <f t="shared" si="57"/>
        <v>24</v>
      </c>
      <c r="AG74" s="40">
        <f t="shared" si="70"/>
        <v>0</v>
      </c>
      <c r="AH74" s="40">
        <f t="shared" si="71"/>
        <v>-945.33492533683193</v>
      </c>
      <c r="AI74" s="44">
        <f t="shared" si="72"/>
        <v>22688.038208083966</v>
      </c>
      <c r="AJ74" s="35">
        <f t="shared" si="58"/>
        <v>24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1022.9672006060251</v>
      </c>
      <c r="AL74" s="57">
        <v>0</v>
      </c>
      <c r="AM74" s="57">
        <v>0</v>
      </c>
      <c r="AN74" s="61">
        <f t="shared" si="59"/>
        <v>24</v>
      </c>
      <c r="AO74" s="40">
        <f t="shared" si="73"/>
        <v>0</v>
      </c>
      <c r="AP74" s="40">
        <f t="shared" si="74"/>
        <v>0</v>
      </c>
      <c r="AQ74" s="44">
        <f t="shared" si="75"/>
        <v>24551.212814544604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9</v>
      </c>
      <c r="G75" s="35">
        <f>SUMIFS(WORKING!$AC$3:$AC$6802,WORKING!$A$3:$A$6802,Results!$D$3,WORKING!$B$3:$B$6802,Results!A75,WORKING!$C$3:$C$6802,Results!C75)/1000</f>
        <v>7869.8765900000008</v>
      </c>
      <c r="H75" s="35">
        <f t="shared" si="60"/>
        <v>874.43073222222233</v>
      </c>
      <c r="I75" s="187">
        <v>11</v>
      </c>
      <c r="J75" s="212" t="s">
        <v>754</v>
      </c>
      <c r="K75" s="217">
        <f t="shared" si="61"/>
        <v>715.4433263636364</v>
      </c>
      <c r="L75" s="34">
        <f t="shared" si="54"/>
        <v>11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781.10207440307283</v>
      </c>
      <c r="N75" s="57">
        <v>0</v>
      </c>
      <c r="O75" s="57">
        <v>0</v>
      </c>
      <c r="P75" s="61">
        <f t="shared" si="55"/>
        <v>11</v>
      </c>
      <c r="Q75" s="40">
        <f t="shared" si="62"/>
        <v>0</v>
      </c>
      <c r="R75" s="40">
        <f t="shared" si="63"/>
        <v>0</v>
      </c>
      <c r="S75" s="44">
        <f t="shared" si="64"/>
        <v>8592.1228184338015</v>
      </c>
      <c r="T75" s="35">
        <f t="shared" si="65"/>
        <v>11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848.03124109614657</v>
      </c>
      <c r="V75" s="57">
        <v>0</v>
      </c>
      <c r="W75" s="57">
        <v>0</v>
      </c>
      <c r="X75" s="61">
        <f t="shared" si="56"/>
        <v>11</v>
      </c>
      <c r="Y75" s="40">
        <f t="shared" si="66"/>
        <v>0</v>
      </c>
      <c r="Z75" s="40">
        <f t="shared" si="67"/>
        <v>0</v>
      </c>
      <c r="AA75" s="44">
        <f t="shared" si="68"/>
        <v>9328.3436520576124</v>
      </c>
      <c r="AB75" s="35">
        <f t="shared" si="69"/>
        <v>11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919.83480787904887</v>
      </c>
      <c r="AD75" s="57">
        <v>0</v>
      </c>
      <c r="AE75" s="57">
        <v>0</v>
      </c>
      <c r="AF75" s="61">
        <f t="shared" si="57"/>
        <v>11</v>
      </c>
      <c r="AG75" s="40">
        <f t="shared" si="70"/>
        <v>0</v>
      </c>
      <c r="AH75" s="40">
        <f t="shared" si="71"/>
        <v>0</v>
      </c>
      <c r="AI75" s="44">
        <f t="shared" si="72"/>
        <v>10118.182886669538</v>
      </c>
      <c r="AJ75" s="35">
        <f t="shared" si="58"/>
        <v>11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995.85140907912819</v>
      </c>
      <c r="AL75" s="57">
        <v>0</v>
      </c>
      <c r="AM75" s="57">
        <v>0</v>
      </c>
      <c r="AN75" s="61">
        <f t="shared" si="59"/>
        <v>11</v>
      </c>
      <c r="AO75" s="40">
        <f t="shared" si="73"/>
        <v>0</v>
      </c>
      <c r="AP75" s="40">
        <f t="shared" si="74"/>
        <v>0</v>
      </c>
      <c r="AQ75" s="44">
        <f t="shared" si="75"/>
        <v>10954.36549987041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20</v>
      </c>
      <c r="G76" s="35">
        <f>SUMIFS(WORKING!$AC$3:$AC$6802,WORKING!$A$3:$A$6802,Results!$D$3,WORKING!$B$3:$B$6802,Results!A76,WORKING!$C$3:$C$6802,Results!C76)/1000</f>
        <v>19435.613139999998</v>
      </c>
      <c r="H76" s="35">
        <f t="shared" si="60"/>
        <v>971.78065699999991</v>
      </c>
      <c r="I76" s="187">
        <v>22</v>
      </c>
      <c r="J76" s="212" t="s">
        <v>754</v>
      </c>
      <c r="K76" s="217">
        <f t="shared" si="61"/>
        <v>883.43696090909077</v>
      </c>
      <c r="L76" s="34">
        <f t="shared" si="54"/>
        <v>22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925.77430580629505</v>
      </c>
      <c r="N76" s="57">
        <v>0</v>
      </c>
      <c r="O76" s="57">
        <v>0</v>
      </c>
      <c r="P76" s="61">
        <f t="shared" si="55"/>
        <v>22</v>
      </c>
      <c r="Q76" s="40">
        <f t="shared" si="62"/>
        <v>0</v>
      </c>
      <c r="R76" s="40">
        <f t="shared" si="63"/>
        <v>0</v>
      </c>
      <c r="S76" s="44">
        <f t="shared" si="64"/>
        <v>20367.03472773849</v>
      </c>
      <c r="T76" s="35">
        <f t="shared" si="65"/>
        <v>22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995.49761700566251</v>
      </c>
      <c r="V76" s="57">
        <v>0</v>
      </c>
      <c r="W76" s="57">
        <v>0</v>
      </c>
      <c r="X76" s="61">
        <f t="shared" si="56"/>
        <v>22</v>
      </c>
      <c r="Y76" s="40">
        <f t="shared" si="66"/>
        <v>0</v>
      </c>
      <c r="Z76" s="40">
        <f t="shared" si="67"/>
        <v>0</v>
      </c>
      <c r="AA76" s="44">
        <f t="shared" si="68"/>
        <v>21900.947574124577</v>
      </c>
      <c r="AB76" s="35">
        <f t="shared" si="69"/>
        <v>22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1069.4621561282986</v>
      </c>
      <c r="AD76" s="57">
        <v>0</v>
      </c>
      <c r="AE76" s="57">
        <v>0</v>
      </c>
      <c r="AF76" s="61">
        <f t="shared" si="57"/>
        <v>22</v>
      </c>
      <c r="AG76" s="40">
        <f t="shared" si="70"/>
        <v>0</v>
      </c>
      <c r="AH76" s="40">
        <f t="shared" si="71"/>
        <v>0</v>
      </c>
      <c r="AI76" s="44">
        <f t="shared" si="72"/>
        <v>23528.167434822568</v>
      </c>
      <c r="AJ76" s="35">
        <f t="shared" si="58"/>
        <v>22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1146.7523664021694</v>
      </c>
      <c r="AL76" s="57">
        <v>0</v>
      </c>
      <c r="AM76" s="57">
        <v>2</v>
      </c>
      <c r="AN76" s="61">
        <f t="shared" si="59"/>
        <v>20</v>
      </c>
      <c r="AO76" s="40">
        <f t="shared" si="73"/>
        <v>0</v>
      </c>
      <c r="AP76" s="40">
        <f t="shared" si="74"/>
        <v>-2293.5047328043388</v>
      </c>
      <c r="AQ76" s="44">
        <f t="shared" si="75"/>
        <v>22935.047328043387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5</v>
      </c>
      <c r="G77" s="35">
        <f>SUMIFS(WORKING!$AC$3:$AC$6802,WORKING!$A$3:$A$6802,Results!$D$3,WORKING!$B$3:$B$6802,Results!A77,WORKING!$C$3:$C$6802,Results!C77)/1000</f>
        <v>7067.798499999999</v>
      </c>
      <c r="H77" s="35">
        <f t="shared" si="60"/>
        <v>1413.5596999999998</v>
      </c>
      <c r="I77" s="187">
        <v>6</v>
      </c>
      <c r="J77" s="212" t="s">
        <v>754</v>
      </c>
      <c r="K77" s="217">
        <f t="shared" si="61"/>
        <v>1177.9664166666664</v>
      </c>
      <c r="L77" s="34">
        <f t="shared" si="54"/>
        <v>6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1234.3510590311917</v>
      </c>
      <c r="N77" s="57">
        <v>0</v>
      </c>
      <c r="O77" s="57">
        <v>0</v>
      </c>
      <c r="P77" s="61">
        <f t="shared" si="55"/>
        <v>6</v>
      </c>
      <c r="Q77" s="40">
        <f t="shared" si="62"/>
        <v>0</v>
      </c>
      <c r="R77" s="40">
        <f t="shared" si="63"/>
        <v>0</v>
      </c>
      <c r="S77" s="44">
        <f t="shared" si="64"/>
        <v>7406.1063541871499</v>
      </c>
      <c r="T77" s="35">
        <f t="shared" si="65"/>
        <v>6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1327.241713820682</v>
      </c>
      <c r="V77" s="57">
        <v>0</v>
      </c>
      <c r="W77" s="57">
        <v>0</v>
      </c>
      <c r="X77" s="61">
        <f t="shared" si="56"/>
        <v>6</v>
      </c>
      <c r="Y77" s="40">
        <f t="shared" si="66"/>
        <v>0</v>
      </c>
      <c r="Z77" s="40">
        <f t="shared" si="67"/>
        <v>0</v>
      </c>
      <c r="AA77" s="44">
        <f t="shared" si="68"/>
        <v>7963.4502829240919</v>
      </c>
      <c r="AB77" s="35">
        <f t="shared" si="69"/>
        <v>6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1425.7764798788949</v>
      </c>
      <c r="AD77" s="57">
        <v>0</v>
      </c>
      <c r="AE77" s="57">
        <v>0</v>
      </c>
      <c r="AF77" s="61">
        <f t="shared" si="57"/>
        <v>6</v>
      </c>
      <c r="AG77" s="40">
        <f t="shared" si="70"/>
        <v>0</v>
      </c>
      <c r="AH77" s="40">
        <f t="shared" si="71"/>
        <v>0</v>
      </c>
      <c r="AI77" s="44">
        <f t="shared" si="72"/>
        <v>8554.6588792733692</v>
      </c>
      <c r="AJ77" s="35">
        <f t="shared" si="58"/>
        <v>6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1528.733902136963</v>
      </c>
      <c r="AL77" s="57">
        <v>0</v>
      </c>
      <c r="AM77" s="57">
        <v>0</v>
      </c>
      <c r="AN77" s="61">
        <f t="shared" si="59"/>
        <v>6</v>
      </c>
      <c r="AO77" s="40">
        <f t="shared" si="73"/>
        <v>0</v>
      </c>
      <c r="AP77" s="40">
        <f t="shared" si="74"/>
        <v>0</v>
      </c>
      <c r="AQ77" s="44">
        <f t="shared" si="75"/>
        <v>9172.4034128217791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8</v>
      </c>
      <c r="G78" s="35">
        <f>SUMIFS(WORKING!$AC$3:$AC$6802,WORKING!$A$3:$A$6802,Results!$D$3,WORKING!$B$3:$B$6802,Results!A78,WORKING!$C$3:$C$6802,Results!C78)/1000</f>
        <v>9311.8335500000012</v>
      </c>
      <c r="H78" s="35">
        <f t="shared" si="60"/>
        <v>1163.9791937500001</v>
      </c>
      <c r="I78" s="187">
        <v>8</v>
      </c>
      <c r="J78" s="212" t="s">
        <v>754</v>
      </c>
      <c r="K78" s="217">
        <f t="shared" si="61"/>
        <v>1163.9791937500001</v>
      </c>
      <c r="L78" s="34">
        <f t="shared" si="54"/>
        <v>8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1220.2905519475</v>
      </c>
      <c r="N78" s="57">
        <v>0</v>
      </c>
      <c r="O78" s="57">
        <v>0</v>
      </c>
      <c r="P78" s="61">
        <f t="shared" si="55"/>
        <v>8</v>
      </c>
      <c r="Q78" s="40">
        <f t="shared" si="62"/>
        <v>0</v>
      </c>
      <c r="R78" s="40">
        <f t="shared" si="63"/>
        <v>0</v>
      </c>
      <c r="S78" s="44">
        <f t="shared" si="64"/>
        <v>9762.3244155800003</v>
      </c>
      <c r="T78" s="35">
        <f t="shared" si="65"/>
        <v>8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1312.7645001059248</v>
      </c>
      <c r="V78" s="57">
        <v>0</v>
      </c>
      <c r="W78" s="57">
        <v>0</v>
      </c>
      <c r="X78" s="61">
        <f t="shared" si="56"/>
        <v>8</v>
      </c>
      <c r="Y78" s="40">
        <f t="shared" si="66"/>
        <v>0</v>
      </c>
      <c r="Z78" s="40">
        <f t="shared" si="67"/>
        <v>0</v>
      </c>
      <c r="AA78" s="44">
        <f t="shared" si="68"/>
        <v>10502.116000847398</v>
      </c>
      <c r="AB78" s="35">
        <f t="shared" si="69"/>
        <v>8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1410.9138413854703</v>
      </c>
      <c r="AD78" s="57">
        <v>0</v>
      </c>
      <c r="AE78" s="57">
        <v>2</v>
      </c>
      <c r="AF78" s="61">
        <f t="shared" si="57"/>
        <v>6</v>
      </c>
      <c r="AG78" s="40">
        <f t="shared" si="70"/>
        <v>0</v>
      </c>
      <c r="AH78" s="40">
        <f t="shared" si="71"/>
        <v>-2821.8276827709406</v>
      </c>
      <c r="AI78" s="44">
        <f t="shared" si="72"/>
        <v>8465.4830483128208</v>
      </c>
      <c r="AJ78" s="35">
        <f t="shared" si="58"/>
        <v>6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1513.5375194388378</v>
      </c>
      <c r="AL78" s="57">
        <v>0</v>
      </c>
      <c r="AM78" s="57">
        <v>0</v>
      </c>
      <c r="AN78" s="61">
        <f t="shared" si="59"/>
        <v>6</v>
      </c>
      <c r="AO78" s="40">
        <f t="shared" si="73"/>
        <v>0</v>
      </c>
      <c r="AP78" s="40">
        <f t="shared" si="74"/>
        <v>0</v>
      </c>
      <c r="AQ78" s="44">
        <f t="shared" si="75"/>
        <v>9081.2251166330261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5</v>
      </c>
      <c r="G79" s="35">
        <f>SUMIFS(WORKING!$AC$3:$AC$6802,WORKING!$A$3:$A$6802,Results!$D$3,WORKING!$B$3:$B$6802,Results!A79,WORKING!$C$3:$C$6802,Results!C79)/1000</f>
        <v>9676.09058</v>
      </c>
      <c r="H79" s="35">
        <f t="shared" si="60"/>
        <v>1935.218116</v>
      </c>
      <c r="I79" s="187">
        <v>3</v>
      </c>
      <c r="J79" s="212">
        <v>5465</v>
      </c>
      <c r="K79" s="217">
        <f t="shared" si="61"/>
        <v>1821.6666666666667</v>
      </c>
      <c r="L79" s="34">
        <f t="shared" si="54"/>
        <v>3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1909.8850786143435</v>
      </c>
      <c r="N79" s="57">
        <v>0</v>
      </c>
      <c r="O79" s="57">
        <v>0</v>
      </c>
      <c r="P79" s="61">
        <f t="shared" si="55"/>
        <v>3</v>
      </c>
      <c r="Q79" s="40">
        <f t="shared" si="62"/>
        <v>0</v>
      </c>
      <c r="R79" s="40">
        <f t="shared" si="63"/>
        <v>0</v>
      </c>
      <c r="S79" s="44">
        <f t="shared" si="64"/>
        <v>5729.6552358430308</v>
      </c>
      <c r="T79" s="35">
        <f t="shared" si="65"/>
        <v>3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2054.7126921337176</v>
      </c>
      <c r="V79" s="57">
        <v>0</v>
      </c>
      <c r="W79" s="57">
        <v>0</v>
      </c>
      <c r="X79" s="61">
        <f t="shared" si="56"/>
        <v>3</v>
      </c>
      <c r="Y79" s="40">
        <f t="shared" si="66"/>
        <v>0</v>
      </c>
      <c r="Z79" s="40">
        <f t="shared" si="67"/>
        <v>0</v>
      </c>
      <c r="AA79" s="44">
        <f t="shared" si="68"/>
        <v>6164.1380764011528</v>
      </c>
      <c r="AB79" s="35">
        <f t="shared" si="69"/>
        <v>3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2208.4372628033666</v>
      </c>
      <c r="AD79" s="57">
        <v>0</v>
      </c>
      <c r="AE79" s="57">
        <v>0</v>
      </c>
      <c r="AF79" s="61">
        <f t="shared" si="57"/>
        <v>3</v>
      </c>
      <c r="AG79" s="40">
        <f t="shared" si="70"/>
        <v>0</v>
      </c>
      <c r="AH79" s="40">
        <f t="shared" si="71"/>
        <v>0</v>
      </c>
      <c r="AI79" s="44">
        <f t="shared" si="72"/>
        <v>6625.3117884100993</v>
      </c>
      <c r="AJ79" s="35">
        <f t="shared" si="58"/>
        <v>3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2369.1799918385386</v>
      </c>
      <c r="AL79" s="57">
        <v>0</v>
      </c>
      <c r="AM79" s="57">
        <v>0</v>
      </c>
      <c r="AN79" s="61">
        <f t="shared" si="59"/>
        <v>3</v>
      </c>
      <c r="AO79" s="40">
        <f t="shared" si="73"/>
        <v>0</v>
      </c>
      <c r="AP79" s="40">
        <f t="shared" si="74"/>
        <v>0</v>
      </c>
      <c r="AQ79" s="44">
        <f t="shared" si="75"/>
        <v>7107.5399755156159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755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>
        <v>1</v>
      </c>
      <c r="J80" s="212">
        <v>1902</v>
      </c>
      <c r="K80" s="217">
        <f t="shared" si="61"/>
        <v>1902</v>
      </c>
      <c r="L80" s="34">
        <f t="shared" si="54"/>
        <v>1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1964.7659999999998</v>
      </c>
      <c r="N80" s="57">
        <v>0</v>
      </c>
      <c r="O80" s="57">
        <v>0</v>
      </c>
      <c r="P80" s="61">
        <f t="shared" si="55"/>
        <v>1</v>
      </c>
      <c r="Q80" s="40">
        <f t="shared" si="62"/>
        <v>0</v>
      </c>
      <c r="R80" s="40">
        <f t="shared" si="63"/>
        <v>0</v>
      </c>
      <c r="S80" s="44">
        <f t="shared" si="64"/>
        <v>1964.7659999999998</v>
      </c>
      <c r="T80" s="35">
        <f t="shared" si="65"/>
        <v>1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2082.6519600000001</v>
      </c>
      <c r="V80" s="57">
        <v>0</v>
      </c>
      <c r="W80" s="57">
        <v>0</v>
      </c>
      <c r="X80" s="61">
        <f t="shared" si="56"/>
        <v>1</v>
      </c>
      <c r="Y80" s="40">
        <f t="shared" si="66"/>
        <v>0</v>
      </c>
      <c r="Z80" s="40">
        <f t="shared" si="67"/>
        <v>0</v>
      </c>
      <c r="AA80" s="44">
        <f t="shared" si="68"/>
        <v>2082.6519600000001</v>
      </c>
      <c r="AB80" s="35">
        <f t="shared" si="69"/>
        <v>1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2205.52842564</v>
      </c>
      <c r="AD80" s="57">
        <v>0</v>
      </c>
      <c r="AE80" s="57">
        <v>0</v>
      </c>
      <c r="AF80" s="61">
        <f t="shared" si="57"/>
        <v>1</v>
      </c>
      <c r="AG80" s="40">
        <f t="shared" si="70"/>
        <v>0</v>
      </c>
      <c r="AH80" s="40">
        <f t="shared" si="71"/>
        <v>0</v>
      </c>
      <c r="AI80" s="44">
        <f t="shared" si="72"/>
        <v>2205.52842564</v>
      </c>
      <c r="AJ80" s="35">
        <f t="shared" si="58"/>
        <v>1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2331.24354590148</v>
      </c>
      <c r="AL80" s="57">
        <v>0</v>
      </c>
      <c r="AM80" s="57">
        <v>0</v>
      </c>
      <c r="AN80" s="61">
        <f t="shared" si="59"/>
        <v>1</v>
      </c>
      <c r="AO80" s="40">
        <f t="shared" si="73"/>
        <v>0</v>
      </c>
      <c r="AP80" s="40">
        <f t="shared" si="74"/>
        <v>0</v>
      </c>
      <c r="AQ80" s="44">
        <f t="shared" si="75"/>
        <v>2331.24354590148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756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>
        <v>1</v>
      </c>
      <c r="J81" s="212">
        <v>2309</v>
      </c>
      <c r="K81" s="217">
        <f t="shared" ref="K81:K83" si="77">IFERROR(IF(J81="",G81,J81)/IF(I81="",F81,I81),"")</f>
        <v>2309</v>
      </c>
      <c r="L81" s="34">
        <f t="shared" ref="L81:L83" si="78">IF(I81="",F81,I81)</f>
        <v>1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2385.1969999999997</v>
      </c>
      <c r="N81" s="57">
        <v>0</v>
      </c>
      <c r="O81" s="57">
        <v>0</v>
      </c>
      <c r="P81" s="61">
        <f t="shared" ref="P81:P83" si="79">-O81+L81+N81</f>
        <v>1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2385.1969999999997</v>
      </c>
      <c r="T81" s="35">
        <f t="shared" ref="T81:T83" si="83">P81</f>
        <v>1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2528.3088199999997</v>
      </c>
      <c r="V81" s="57">
        <v>0</v>
      </c>
      <c r="W81" s="57">
        <v>0</v>
      </c>
      <c r="X81" s="61">
        <f t="shared" ref="X81:X83" si="84">-W81+T81+V81</f>
        <v>1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2528.3088199999997</v>
      </c>
      <c r="AB81" s="35">
        <f t="shared" ref="AB81:AB83" si="88">X81</f>
        <v>1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2677.4790403799998</v>
      </c>
      <c r="AD81" s="57">
        <v>0</v>
      </c>
      <c r="AE81" s="57">
        <v>0</v>
      </c>
      <c r="AF81" s="61">
        <f t="shared" ref="AF81:AF83" si="89">-AE81+AB81+AD81</f>
        <v>1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2677.4790403799998</v>
      </c>
      <c r="AJ81" s="35">
        <f t="shared" ref="AJ81:AJ83" si="93">AF81</f>
        <v>1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2830.0953456816596</v>
      </c>
      <c r="AL81" s="57">
        <v>0</v>
      </c>
      <c r="AM81" s="57">
        <v>0</v>
      </c>
      <c r="AN81" s="61">
        <f t="shared" ref="AN81:AN83" si="94">-AM81+AJ81+AL81</f>
        <v>1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2830.0953456816596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298</v>
      </c>
      <c r="G84" s="41">
        <f>SUM(G64:G83)</f>
        <v>138840.45149000001</v>
      </c>
      <c r="H84" s="41">
        <f>IFERROR(G84/F84,0)</f>
        <v>465.90755533557046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303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138840.36090999999</v>
      </c>
      <c r="K84" s="41">
        <f>IFERROR(J84/I84,"")</f>
        <v>458.21901290429037</v>
      </c>
      <c r="L84" s="41">
        <f>SUM(L64:L83)</f>
        <v>303</v>
      </c>
      <c r="M84" s="41">
        <f>IFERROR(S84/P84,0)</f>
        <v>489.09630341554015</v>
      </c>
      <c r="N84" s="41">
        <f t="shared" ref="N84:T84" si="98">SUM(N64:N83)</f>
        <v>0</v>
      </c>
      <c r="O84" s="41">
        <f t="shared" si="98"/>
        <v>0</v>
      </c>
      <c r="P84" s="41">
        <f t="shared" si="98"/>
        <v>303</v>
      </c>
      <c r="Q84" s="41">
        <f t="shared" si="98"/>
        <v>0</v>
      </c>
      <c r="R84" s="41">
        <f t="shared" si="98"/>
        <v>0</v>
      </c>
      <c r="S84" s="45">
        <f t="shared" si="98"/>
        <v>148196.17993490867</v>
      </c>
      <c r="T84" s="41">
        <f t="shared" si="98"/>
        <v>303</v>
      </c>
      <c r="U84" s="41">
        <f>IFERROR(AA84/X84,0)</f>
        <v>558.09947748380773</v>
      </c>
      <c r="V84" s="41">
        <f t="shared" ref="V84:AB84" si="99">SUM(V64:V83)</f>
        <v>0</v>
      </c>
      <c r="W84" s="41">
        <f t="shared" si="99"/>
        <v>20</v>
      </c>
      <c r="X84" s="41">
        <f t="shared" si="99"/>
        <v>283</v>
      </c>
      <c r="Y84" s="41">
        <f t="shared" si="99"/>
        <v>0</v>
      </c>
      <c r="Z84" s="41">
        <f t="shared" si="99"/>
        <v>-2344.9126748523727</v>
      </c>
      <c r="AA84" s="45">
        <f t="shared" si="99"/>
        <v>157942.15212791759</v>
      </c>
      <c r="AB84" s="41">
        <f t="shared" si="99"/>
        <v>283</v>
      </c>
      <c r="AC84" s="41">
        <f>IFERROR(AI84/AF84,0)</f>
        <v>597.22449073201847</v>
      </c>
      <c r="AD84" s="41">
        <f t="shared" ref="AD84:AJ84" si="100">SUM(AD64:AD83)</f>
        <v>0</v>
      </c>
      <c r="AE84" s="41">
        <f t="shared" si="100"/>
        <v>4</v>
      </c>
      <c r="AF84" s="41">
        <f t="shared" si="100"/>
        <v>279</v>
      </c>
      <c r="AG84" s="41">
        <f t="shared" si="100"/>
        <v>0</v>
      </c>
      <c r="AH84" s="41">
        <f t="shared" si="100"/>
        <v>-4038.3057655766179</v>
      </c>
      <c r="AI84" s="45">
        <f t="shared" si="100"/>
        <v>166625.63291423314</v>
      </c>
      <c r="AJ84" s="41">
        <f t="shared" si="100"/>
        <v>279</v>
      </c>
      <c r="AK84" s="41">
        <f>IFERROR(AQ84/AN84,0)</f>
        <v>642.21171858963191</v>
      </c>
      <c r="AL84" s="41">
        <f t="shared" ref="AL84:AQ84" si="101">SUM(AL64:AL83)</f>
        <v>0</v>
      </c>
      <c r="AM84" s="41">
        <f t="shared" si="101"/>
        <v>4</v>
      </c>
      <c r="AN84" s="41">
        <f t="shared" si="101"/>
        <v>275</v>
      </c>
      <c r="AO84" s="41">
        <f t="shared" si="101"/>
        <v>0</v>
      </c>
      <c r="AP84" s="41">
        <f t="shared" si="101"/>
        <v>-3118.1077322197034</v>
      </c>
      <c r="AQ84" s="45">
        <f t="shared" si="101"/>
        <v>176608.22261214876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136792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143141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148570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159861.32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-11404.179934908665</v>
      </c>
      <c r="T86" s="39"/>
      <c r="U86" s="39"/>
      <c r="V86" s="53"/>
      <c r="W86" s="53"/>
      <c r="X86" s="110"/>
      <c r="Y86" s="39"/>
      <c r="Z86" s="39"/>
      <c r="AA86" s="54">
        <f>AA85-AA84</f>
        <v>-14801.152127917594</v>
      </c>
      <c r="AB86" s="39"/>
      <c r="AC86" s="53"/>
      <c r="AD86" s="53"/>
      <c r="AE86" s="110"/>
      <c r="AF86" s="39"/>
      <c r="AG86" s="39"/>
      <c r="AH86" s="39"/>
      <c r="AI86" s="54">
        <f>AI85-AI84</f>
        <v>-18055.632914233138</v>
      </c>
      <c r="AJ86" s="53"/>
      <c r="AK86" s="53"/>
      <c r="AL86" s="110"/>
      <c r="AM86" s="110"/>
      <c r="AN86" s="110"/>
      <c r="AO86" s="110"/>
      <c r="AP86" s="111"/>
      <c r="AQ86" s="54">
        <f>AQ85-AQ84</f>
        <v>-16746.902612148755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Energy Policy and Planning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 t="s">
        <v>754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3</v>
      </c>
      <c r="G93" s="35">
        <f>SUMIFS(WORKING!$AC$3:$AC$6802,WORKING!$A$3:$A$6802,Results!$D$3,WORKING!$B$3:$B$6802,Results!A93,WORKING!$C$3:$C$6802,Results!C93)/1000</f>
        <v>233.09402000000003</v>
      </c>
      <c r="H93" s="35">
        <f t="shared" ref="H93:H111" si="108">IFERROR(G93/F93,0)</f>
        <v>77.698006666666672</v>
      </c>
      <c r="I93" s="187">
        <v>2</v>
      </c>
      <c r="J93" s="212" t="s">
        <v>754</v>
      </c>
      <c r="K93" s="217">
        <f t="shared" ref="K93:K111" si="109">IFERROR(IF(J93="",G93,J93)/IF(I93="",F93,I93),"")</f>
        <v>116.54701000000001</v>
      </c>
      <c r="L93" s="34">
        <f t="shared" si="102"/>
        <v>2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127.28565150140001</v>
      </c>
      <c r="N93" s="57">
        <v>0</v>
      </c>
      <c r="O93" s="57">
        <v>0</v>
      </c>
      <c r="P93" s="61">
        <f t="shared" si="103"/>
        <v>2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254.57130300280002</v>
      </c>
      <c r="T93" s="35">
        <f t="shared" ref="T93:T111" si="113">P93</f>
        <v>2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138.23858181309549</v>
      </c>
      <c r="V93" s="57">
        <v>0</v>
      </c>
      <c r="W93" s="57">
        <v>2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-276.47716362619099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149.99369961757205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162.44392665432861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 t="s">
        <v>754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 t="s">
        <v>754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0</v>
      </c>
      <c r="H96" s="35">
        <f t="shared" si="108"/>
        <v>0</v>
      </c>
      <c r="I96" s="187" t="s">
        <v>754</v>
      </c>
      <c r="J96" s="212" t="s">
        <v>754</v>
      </c>
      <c r="K96" s="217" t="str">
        <f t="shared" si="109"/>
        <v/>
      </c>
      <c r="L96" s="34">
        <f t="shared" si="102"/>
        <v>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0</v>
      </c>
      <c r="N96" s="57">
        <v>0</v>
      </c>
      <c r="O96" s="57">
        <v>0</v>
      </c>
      <c r="P96" s="61">
        <f t="shared" si="103"/>
        <v>0</v>
      </c>
      <c r="Q96" s="40">
        <f t="shared" si="110"/>
        <v>0</v>
      </c>
      <c r="R96" s="40">
        <f t="shared" si="111"/>
        <v>0</v>
      </c>
      <c r="S96" s="44">
        <f t="shared" si="112"/>
        <v>0</v>
      </c>
      <c r="T96" s="35">
        <f t="shared" si="113"/>
        <v>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0</v>
      </c>
      <c r="V96" s="57">
        <v>0</v>
      </c>
      <c r="W96" s="57">
        <v>0</v>
      </c>
      <c r="X96" s="61">
        <f t="shared" si="104"/>
        <v>0</v>
      </c>
      <c r="Y96" s="40">
        <f t="shared" si="114"/>
        <v>0</v>
      </c>
      <c r="Z96" s="40">
        <f t="shared" si="115"/>
        <v>0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0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0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0</v>
      </c>
      <c r="G97" s="35">
        <f>SUMIFS(WORKING!$AC$3:$AC$6802,WORKING!$A$3:$A$6802,Results!$D$3,WORKING!$B$3:$B$6802,Results!A97,WORKING!$C$3:$C$6802,Results!C97)/1000</f>
        <v>0</v>
      </c>
      <c r="H97" s="35">
        <f t="shared" si="108"/>
        <v>0</v>
      </c>
      <c r="I97" s="187" t="s">
        <v>754</v>
      </c>
      <c r="J97" s="212" t="s">
        <v>754</v>
      </c>
      <c r="K97" s="217" t="str">
        <f t="shared" si="109"/>
        <v/>
      </c>
      <c r="L97" s="34">
        <f t="shared" si="102"/>
        <v>0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0</v>
      </c>
      <c r="N97" s="57">
        <v>0</v>
      </c>
      <c r="O97" s="57">
        <v>0</v>
      </c>
      <c r="P97" s="61">
        <f t="shared" si="103"/>
        <v>0</v>
      </c>
      <c r="Q97" s="40">
        <f t="shared" si="110"/>
        <v>0</v>
      </c>
      <c r="R97" s="40">
        <f t="shared" si="111"/>
        <v>0</v>
      </c>
      <c r="S97" s="44">
        <f t="shared" si="112"/>
        <v>0</v>
      </c>
      <c r="T97" s="35">
        <f t="shared" si="113"/>
        <v>0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0</v>
      </c>
      <c r="V97" s="57">
        <v>0</v>
      </c>
      <c r="W97" s="57">
        <v>0</v>
      </c>
      <c r="X97" s="61">
        <f t="shared" si="104"/>
        <v>0</v>
      </c>
      <c r="Y97" s="40">
        <f t="shared" si="114"/>
        <v>0</v>
      </c>
      <c r="Z97" s="40">
        <f t="shared" si="115"/>
        <v>0</v>
      </c>
      <c r="AA97" s="44">
        <f t="shared" si="116"/>
        <v>0</v>
      </c>
      <c r="AB97" s="35">
        <f t="shared" si="117"/>
        <v>0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0</v>
      </c>
      <c r="AD97" s="57">
        <v>0</v>
      </c>
      <c r="AE97" s="57">
        <v>0</v>
      </c>
      <c r="AF97" s="61">
        <f t="shared" si="105"/>
        <v>0</v>
      </c>
      <c r="AG97" s="40">
        <f t="shared" si="118"/>
        <v>0</v>
      </c>
      <c r="AH97" s="40">
        <f t="shared" si="119"/>
        <v>0</v>
      </c>
      <c r="AI97" s="44">
        <f t="shared" si="120"/>
        <v>0</v>
      </c>
      <c r="AJ97" s="35">
        <f t="shared" si="106"/>
        <v>0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0</v>
      </c>
      <c r="AL97" s="57">
        <v>0</v>
      </c>
      <c r="AM97" s="57">
        <v>0</v>
      </c>
      <c r="AN97" s="61">
        <f t="shared" si="107"/>
        <v>0</v>
      </c>
      <c r="AO97" s="40">
        <f t="shared" si="121"/>
        <v>0</v>
      </c>
      <c r="AP97" s="40">
        <f t="shared" si="122"/>
        <v>0</v>
      </c>
      <c r="AQ97" s="44">
        <f t="shared" si="123"/>
        <v>0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8</v>
      </c>
      <c r="G98" s="35">
        <f>SUMIFS(WORKING!$AC$3:$AC$6802,WORKING!$A$3:$A$6802,Results!$D$3,WORKING!$B$3:$B$6802,Results!A98,WORKING!$C$3:$C$6802,Results!C98)/1000</f>
        <v>2251.72165</v>
      </c>
      <c r="H98" s="35">
        <f t="shared" si="108"/>
        <v>281.46520624999999</v>
      </c>
      <c r="I98" s="187">
        <v>8</v>
      </c>
      <c r="J98" s="212" t="s">
        <v>754</v>
      </c>
      <c r="K98" s="217">
        <f t="shared" si="109"/>
        <v>281.46520624999999</v>
      </c>
      <c r="L98" s="34">
        <f t="shared" si="102"/>
        <v>8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306.30798193980263</v>
      </c>
      <c r="N98" s="57">
        <v>0</v>
      </c>
      <c r="O98" s="57">
        <v>0</v>
      </c>
      <c r="P98" s="61">
        <f t="shared" si="103"/>
        <v>8</v>
      </c>
      <c r="Q98" s="40">
        <f t="shared" si="110"/>
        <v>0</v>
      </c>
      <c r="R98" s="40">
        <f t="shared" si="111"/>
        <v>0</v>
      </c>
      <c r="S98" s="44">
        <f t="shared" si="112"/>
        <v>2450.463855518421</v>
      </c>
      <c r="T98" s="35">
        <f t="shared" si="113"/>
        <v>8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332.3282729672261</v>
      </c>
      <c r="V98" s="57">
        <v>0</v>
      </c>
      <c r="W98" s="57">
        <v>0</v>
      </c>
      <c r="X98" s="61">
        <f t="shared" si="104"/>
        <v>8</v>
      </c>
      <c r="Y98" s="40">
        <f t="shared" si="114"/>
        <v>0</v>
      </c>
      <c r="Z98" s="40">
        <f t="shared" si="115"/>
        <v>0</v>
      </c>
      <c r="AA98" s="44">
        <f t="shared" si="116"/>
        <v>2658.6261837378088</v>
      </c>
      <c r="AB98" s="35">
        <f t="shared" si="117"/>
        <v>8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360.22198919806107</v>
      </c>
      <c r="AD98" s="57">
        <v>0</v>
      </c>
      <c r="AE98" s="57">
        <v>0</v>
      </c>
      <c r="AF98" s="61">
        <f t="shared" si="105"/>
        <v>8</v>
      </c>
      <c r="AG98" s="40">
        <f t="shared" si="118"/>
        <v>0</v>
      </c>
      <c r="AH98" s="40">
        <f t="shared" si="119"/>
        <v>0</v>
      </c>
      <c r="AI98" s="44">
        <f t="shared" si="120"/>
        <v>2881.7759135844885</v>
      </c>
      <c r="AJ98" s="35">
        <f t="shared" si="106"/>
        <v>8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389.72647978564703</v>
      </c>
      <c r="AL98" s="57">
        <v>0</v>
      </c>
      <c r="AM98" s="57">
        <v>0</v>
      </c>
      <c r="AN98" s="61">
        <f t="shared" si="107"/>
        <v>8</v>
      </c>
      <c r="AO98" s="40">
        <f t="shared" si="121"/>
        <v>0</v>
      </c>
      <c r="AP98" s="40">
        <f t="shared" si="122"/>
        <v>0</v>
      </c>
      <c r="AQ98" s="44">
        <f t="shared" si="123"/>
        <v>3117.8118382851762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0</v>
      </c>
      <c r="G99" s="35">
        <f>SUMIFS(WORKING!$AC$3:$AC$6802,WORKING!$A$3:$A$6802,Results!$D$3,WORKING!$B$3:$B$6802,Results!A99,WORKING!$C$3:$C$6802,Results!C99)/1000</f>
        <v>0</v>
      </c>
      <c r="H99" s="35">
        <f t="shared" si="108"/>
        <v>0</v>
      </c>
      <c r="I99" s="187" t="s">
        <v>754</v>
      </c>
      <c r="J99" s="212" t="s">
        <v>754</v>
      </c>
      <c r="K99" s="217" t="str">
        <f t="shared" si="109"/>
        <v/>
      </c>
      <c r="L99" s="34">
        <f t="shared" si="102"/>
        <v>0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0</v>
      </c>
      <c r="N99" s="57">
        <v>0</v>
      </c>
      <c r="O99" s="57">
        <v>0</v>
      </c>
      <c r="P99" s="61">
        <f t="shared" si="103"/>
        <v>0</v>
      </c>
      <c r="Q99" s="40">
        <f t="shared" si="110"/>
        <v>0</v>
      </c>
      <c r="R99" s="40">
        <f t="shared" si="111"/>
        <v>0</v>
      </c>
      <c r="S99" s="44">
        <f t="shared" si="112"/>
        <v>0</v>
      </c>
      <c r="T99" s="35">
        <f t="shared" si="113"/>
        <v>0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0</v>
      </c>
      <c r="V99" s="57">
        <v>0</v>
      </c>
      <c r="W99" s="57">
        <v>0</v>
      </c>
      <c r="X99" s="61">
        <f t="shared" si="104"/>
        <v>0</v>
      </c>
      <c r="Y99" s="40">
        <f t="shared" si="114"/>
        <v>0</v>
      </c>
      <c r="Z99" s="40">
        <f t="shared" si="115"/>
        <v>0</v>
      </c>
      <c r="AA99" s="44">
        <f t="shared" si="116"/>
        <v>0</v>
      </c>
      <c r="AB99" s="35">
        <f t="shared" si="117"/>
        <v>0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0</v>
      </c>
      <c r="AD99" s="57">
        <v>0</v>
      </c>
      <c r="AE99" s="57">
        <v>0</v>
      </c>
      <c r="AF99" s="61">
        <f t="shared" si="105"/>
        <v>0</v>
      </c>
      <c r="AG99" s="40">
        <f t="shared" si="118"/>
        <v>0</v>
      </c>
      <c r="AH99" s="40">
        <f t="shared" si="119"/>
        <v>0</v>
      </c>
      <c r="AI99" s="44">
        <f t="shared" si="120"/>
        <v>0</v>
      </c>
      <c r="AJ99" s="35">
        <f t="shared" si="106"/>
        <v>0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0</v>
      </c>
      <c r="AL99" s="57">
        <v>0</v>
      </c>
      <c r="AM99" s="57">
        <v>0</v>
      </c>
      <c r="AN99" s="61">
        <f t="shared" si="107"/>
        <v>0</v>
      </c>
      <c r="AO99" s="40">
        <f t="shared" si="121"/>
        <v>0</v>
      </c>
      <c r="AP99" s="40">
        <f t="shared" si="122"/>
        <v>0</v>
      </c>
      <c r="AQ99" s="44">
        <f t="shared" si="123"/>
        <v>0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1</v>
      </c>
      <c r="G100" s="35">
        <f>SUMIFS(WORKING!$AC$3:$AC$6802,WORKING!$A$3:$A$6802,Results!$D$3,WORKING!$B$3:$B$6802,Results!A100,WORKING!$C$3:$C$6802,Results!C100)/1000</f>
        <v>402.80408</v>
      </c>
      <c r="H100" s="35">
        <f t="shared" si="108"/>
        <v>402.80408</v>
      </c>
      <c r="I100" s="187">
        <v>1</v>
      </c>
      <c r="J100" s="212" t="s">
        <v>754</v>
      </c>
      <c r="K100" s="217">
        <f t="shared" si="109"/>
        <v>402.80408</v>
      </c>
      <c r="L100" s="34">
        <f t="shared" si="102"/>
        <v>1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438.6148440054659</v>
      </c>
      <c r="N100" s="57">
        <v>0</v>
      </c>
      <c r="O100" s="57">
        <v>0</v>
      </c>
      <c r="P100" s="61">
        <f t="shared" si="103"/>
        <v>1</v>
      </c>
      <c r="Q100" s="40">
        <f t="shared" si="110"/>
        <v>0</v>
      </c>
      <c r="R100" s="40">
        <f t="shared" si="111"/>
        <v>0</v>
      </c>
      <c r="S100" s="44">
        <f t="shared" si="112"/>
        <v>438.6148440054659</v>
      </c>
      <c r="T100" s="35">
        <f t="shared" si="113"/>
        <v>1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475.95042433194914</v>
      </c>
      <c r="V100" s="57">
        <v>0</v>
      </c>
      <c r="W100" s="57">
        <v>0</v>
      </c>
      <c r="X100" s="61">
        <f t="shared" si="104"/>
        <v>1</v>
      </c>
      <c r="Y100" s="40">
        <f t="shared" si="114"/>
        <v>0</v>
      </c>
      <c r="Z100" s="40">
        <f t="shared" si="115"/>
        <v>0</v>
      </c>
      <c r="AA100" s="44">
        <f t="shared" si="116"/>
        <v>475.95042433194914</v>
      </c>
      <c r="AB100" s="35">
        <f t="shared" si="117"/>
        <v>1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515.98162384878901</v>
      </c>
      <c r="AD100" s="57">
        <v>0</v>
      </c>
      <c r="AE100" s="57">
        <v>0</v>
      </c>
      <c r="AF100" s="61">
        <f t="shared" si="105"/>
        <v>1</v>
      </c>
      <c r="AG100" s="40">
        <f t="shared" si="118"/>
        <v>0</v>
      </c>
      <c r="AH100" s="40">
        <f t="shared" si="119"/>
        <v>0</v>
      </c>
      <c r="AI100" s="44">
        <f t="shared" si="120"/>
        <v>515.98162384878901</v>
      </c>
      <c r="AJ100" s="35">
        <f t="shared" si="106"/>
        <v>1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558.33372216550765</v>
      </c>
      <c r="AL100" s="57">
        <v>0</v>
      </c>
      <c r="AM100" s="57">
        <v>0</v>
      </c>
      <c r="AN100" s="61">
        <f t="shared" si="107"/>
        <v>1</v>
      </c>
      <c r="AO100" s="40">
        <f t="shared" si="121"/>
        <v>0</v>
      </c>
      <c r="AP100" s="40">
        <f t="shared" si="122"/>
        <v>0</v>
      </c>
      <c r="AQ100" s="44">
        <f t="shared" si="123"/>
        <v>558.33372216550765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19</v>
      </c>
      <c r="G101" s="35">
        <f>SUMIFS(WORKING!$AC$3:$AC$6802,WORKING!$A$3:$A$6802,Results!$D$3,WORKING!$B$3:$B$6802,Results!A101,WORKING!$C$3:$C$6802,Results!C101)/1000</f>
        <v>8837.8546700000006</v>
      </c>
      <c r="H101" s="35">
        <f t="shared" si="108"/>
        <v>465.15024578947373</v>
      </c>
      <c r="I101" s="187">
        <v>19</v>
      </c>
      <c r="J101" s="212" t="s">
        <v>754</v>
      </c>
      <c r="K101" s="217">
        <f t="shared" si="109"/>
        <v>465.15024578947373</v>
      </c>
      <c r="L101" s="34">
        <f t="shared" si="102"/>
        <v>19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506.8077430937484</v>
      </c>
      <c r="N101" s="57">
        <v>0</v>
      </c>
      <c r="O101" s="57">
        <v>0</v>
      </c>
      <c r="P101" s="61">
        <f t="shared" si="103"/>
        <v>19</v>
      </c>
      <c r="Q101" s="40">
        <f t="shared" si="110"/>
        <v>0</v>
      </c>
      <c r="R101" s="40">
        <f t="shared" si="111"/>
        <v>0</v>
      </c>
      <c r="S101" s="44">
        <f t="shared" si="112"/>
        <v>9629.3471187812193</v>
      </c>
      <c r="T101" s="35">
        <f t="shared" si="113"/>
        <v>19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550.04541326830508</v>
      </c>
      <c r="V101" s="57">
        <v>0</v>
      </c>
      <c r="W101" s="57">
        <v>0</v>
      </c>
      <c r="X101" s="61">
        <f t="shared" si="104"/>
        <v>19</v>
      </c>
      <c r="Y101" s="40">
        <f t="shared" si="114"/>
        <v>0</v>
      </c>
      <c r="Z101" s="40">
        <f t="shared" si="115"/>
        <v>0</v>
      </c>
      <c r="AA101" s="44">
        <f t="shared" si="116"/>
        <v>10450.862852097796</v>
      </c>
      <c r="AB101" s="35">
        <f t="shared" si="117"/>
        <v>19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596.41402929458309</v>
      </c>
      <c r="AD101" s="57">
        <v>0</v>
      </c>
      <c r="AE101" s="57">
        <v>0</v>
      </c>
      <c r="AF101" s="61">
        <f t="shared" si="105"/>
        <v>19</v>
      </c>
      <c r="AG101" s="40">
        <f t="shared" si="118"/>
        <v>0</v>
      </c>
      <c r="AH101" s="40">
        <f t="shared" si="119"/>
        <v>0</v>
      </c>
      <c r="AI101" s="44">
        <f t="shared" si="120"/>
        <v>11331.866556597079</v>
      </c>
      <c r="AJ101" s="35">
        <f t="shared" si="106"/>
        <v>19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645.48180934242225</v>
      </c>
      <c r="AL101" s="57">
        <v>0</v>
      </c>
      <c r="AM101" s="57">
        <v>0</v>
      </c>
      <c r="AN101" s="61">
        <f t="shared" si="107"/>
        <v>19</v>
      </c>
      <c r="AO101" s="40">
        <f t="shared" si="121"/>
        <v>0</v>
      </c>
      <c r="AP101" s="40">
        <f t="shared" si="122"/>
        <v>0</v>
      </c>
      <c r="AQ101" s="44">
        <f t="shared" si="123"/>
        <v>12264.154377506024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4</v>
      </c>
      <c r="G102" s="35">
        <f>SUMIFS(WORKING!$AC$3:$AC$6802,WORKING!$A$3:$A$6802,Results!$D$3,WORKING!$B$3:$B$6802,Results!A102,WORKING!$C$3:$C$6802,Results!C102)/1000</f>
        <v>1653.9338800000003</v>
      </c>
      <c r="H102" s="35">
        <f t="shared" si="108"/>
        <v>413.48347000000007</v>
      </c>
      <c r="I102" s="187">
        <v>3</v>
      </c>
      <c r="J102" s="212" t="s">
        <v>754</v>
      </c>
      <c r="K102" s="217">
        <f t="shared" si="109"/>
        <v>551.31129333333342</v>
      </c>
      <c r="L102" s="34">
        <f t="shared" si="102"/>
        <v>3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601.40038041746686</v>
      </c>
      <c r="N102" s="57">
        <v>0</v>
      </c>
      <c r="O102" s="57">
        <v>0</v>
      </c>
      <c r="P102" s="61">
        <f t="shared" si="103"/>
        <v>3</v>
      </c>
      <c r="Q102" s="40">
        <f t="shared" si="110"/>
        <v>0</v>
      </c>
      <c r="R102" s="40">
        <f t="shared" si="111"/>
        <v>0</v>
      </c>
      <c r="S102" s="44">
        <f t="shared" si="112"/>
        <v>1804.2011412524007</v>
      </c>
      <c r="T102" s="35">
        <f t="shared" si="113"/>
        <v>3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652.38206701124591</v>
      </c>
      <c r="V102" s="57">
        <v>0</v>
      </c>
      <c r="W102" s="57">
        <v>0</v>
      </c>
      <c r="X102" s="61">
        <f t="shared" si="104"/>
        <v>3</v>
      </c>
      <c r="Y102" s="40">
        <f t="shared" si="114"/>
        <v>0</v>
      </c>
      <c r="Z102" s="40">
        <f t="shared" si="115"/>
        <v>0</v>
      </c>
      <c r="AA102" s="44">
        <f t="shared" si="116"/>
        <v>1957.1462010337377</v>
      </c>
      <c r="AB102" s="35">
        <f t="shared" si="117"/>
        <v>3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707.02416557582512</v>
      </c>
      <c r="AD102" s="57">
        <v>0</v>
      </c>
      <c r="AE102" s="57">
        <v>0</v>
      </c>
      <c r="AF102" s="61">
        <f t="shared" si="105"/>
        <v>3</v>
      </c>
      <c r="AG102" s="40">
        <f t="shared" si="118"/>
        <v>0</v>
      </c>
      <c r="AH102" s="40">
        <f t="shared" si="119"/>
        <v>0</v>
      </c>
      <c r="AI102" s="44">
        <f t="shared" si="120"/>
        <v>2121.0724967274755</v>
      </c>
      <c r="AJ102" s="35">
        <f t="shared" si="106"/>
        <v>3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764.80939746820809</v>
      </c>
      <c r="AL102" s="57">
        <v>0</v>
      </c>
      <c r="AM102" s="57">
        <v>0</v>
      </c>
      <c r="AN102" s="61">
        <f t="shared" si="107"/>
        <v>3</v>
      </c>
      <c r="AO102" s="40">
        <f t="shared" si="121"/>
        <v>0</v>
      </c>
      <c r="AP102" s="40">
        <f t="shared" si="122"/>
        <v>0</v>
      </c>
      <c r="AQ102" s="44">
        <f t="shared" si="123"/>
        <v>2294.4281924046245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8</v>
      </c>
      <c r="G103" s="35">
        <f>SUMIFS(WORKING!$AC$3:$AC$6802,WORKING!$A$3:$A$6802,Results!$D$3,WORKING!$B$3:$B$6802,Results!A103,WORKING!$C$3:$C$6802,Results!C103)/1000</f>
        <v>6274.3816499999994</v>
      </c>
      <c r="H103" s="35">
        <f t="shared" si="108"/>
        <v>784.29770624999992</v>
      </c>
      <c r="I103" s="187">
        <v>9</v>
      </c>
      <c r="J103" s="212" t="s">
        <v>754</v>
      </c>
      <c r="K103" s="217">
        <f t="shared" si="109"/>
        <v>697.15351666666663</v>
      </c>
      <c r="L103" s="34">
        <f t="shared" si="102"/>
        <v>9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760.62962396206649</v>
      </c>
      <c r="N103" s="57">
        <v>0</v>
      </c>
      <c r="O103" s="57">
        <v>0</v>
      </c>
      <c r="P103" s="61">
        <f t="shared" si="103"/>
        <v>9</v>
      </c>
      <c r="Q103" s="40">
        <f t="shared" si="110"/>
        <v>0</v>
      </c>
      <c r="R103" s="40">
        <f t="shared" si="111"/>
        <v>0</v>
      </c>
      <c r="S103" s="44">
        <f t="shared" si="112"/>
        <v>6845.6666156585979</v>
      </c>
      <c r="T103" s="35">
        <f t="shared" si="113"/>
        <v>9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825.25764333140853</v>
      </c>
      <c r="V103" s="57">
        <v>0</v>
      </c>
      <c r="W103" s="57">
        <v>0</v>
      </c>
      <c r="X103" s="61">
        <f t="shared" si="104"/>
        <v>9</v>
      </c>
      <c r="Y103" s="40">
        <f t="shared" si="114"/>
        <v>0</v>
      </c>
      <c r="Z103" s="40">
        <f t="shared" si="115"/>
        <v>0</v>
      </c>
      <c r="AA103" s="44">
        <f t="shared" si="116"/>
        <v>7427.3187899826771</v>
      </c>
      <c r="AB103" s="35">
        <f t="shared" si="117"/>
        <v>9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894.54007699481917</v>
      </c>
      <c r="AD103" s="57">
        <v>0</v>
      </c>
      <c r="AE103" s="57">
        <v>0</v>
      </c>
      <c r="AF103" s="61">
        <f t="shared" si="105"/>
        <v>9</v>
      </c>
      <c r="AG103" s="40">
        <f t="shared" si="118"/>
        <v>0</v>
      </c>
      <c r="AH103" s="40">
        <f t="shared" si="119"/>
        <v>0</v>
      </c>
      <c r="AI103" s="44">
        <f t="shared" si="120"/>
        <v>8050.8606929533726</v>
      </c>
      <c r="AJ103" s="35">
        <f t="shared" si="106"/>
        <v>9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967.82483878013977</v>
      </c>
      <c r="AL103" s="57">
        <v>0</v>
      </c>
      <c r="AM103" s="57">
        <v>0</v>
      </c>
      <c r="AN103" s="61">
        <f t="shared" si="107"/>
        <v>9</v>
      </c>
      <c r="AO103" s="40">
        <f t="shared" si="121"/>
        <v>0</v>
      </c>
      <c r="AP103" s="40">
        <f t="shared" si="122"/>
        <v>0</v>
      </c>
      <c r="AQ103" s="44">
        <f t="shared" si="123"/>
        <v>8710.4235490212577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9</v>
      </c>
      <c r="G104" s="35">
        <f>SUMIFS(WORKING!$AC$3:$AC$6802,WORKING!$A$3:$A$6802,Results!$D$3,WORKING!$B$3:$B$6802,Results!A104,WORKING!$C$3:$C$6802,Results!C104)/1000</f>
        <v>8133.1051399999988</v>
      </c>
      <c r="H104" s="35">
        <f t="shared" si="108"/>
        <v>903.67834888888876</v>
      </c>
      <c r="I104" s="187">
        <v>8</v>
      </c>
      <c r="J104" s="212" t="s">
        <v>754</v>
      </c>
      <c r="K104" s="217">
        <f t="shared" si="109"/>
        <v>1016.6381424999998</v>
      </c>
      <c r="L104" s="34">
        <f t="shared" si="102"/>
        <v>8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1065.5370789256185</v>
      </c>
      <c r="N104" s="57">
        <v>0</v>
      </c>
      <c r="O104" s="57">
        <v>0</v>
      </c>
      <c r="P104" s="61">
        <f t="shared" si="103"/>
        <v>8</v>
      </c>
      <c r="Q104" s="40">
        <f t="shared" si="110"/>
        <v>0</v>
      </c>
      <c r="R104" s="40">
        <f t="shared" si="111"/>
        <v>0</v>
      </c>
      <c r="S104" s="44">
        <f t="shared" si="112"/>
        <v>8524.2966314049481</v>
      </c>
      <c r="T104" s="35">
        <f t="shared" si="113"/>
        <v>8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1145.977994381594</v>
      </c>
      <c r="V104" s="57">
        <v>0</v>
      </c>
      <c r="W104" s="57">
        <v>0</v>
      </c>
      <c r="X104" s="61">
        <f t="shared" si="104"/>
        <v>8</v>
      </c>
      <c r="Y104" s="40">
        <f t="shared" si="114"/>
        <v>0</v>
      </c>
      <c r="Z104" s="40">
        <f t="shared" si="115"/>
        <v>0</v>
      </c>
      <c r="AA104" s="44">
        <f t="shared" si="116"/>
        <v>9167.8239550527524</v>
      </c>
      <c r="AB104" s="35">
        <f t="shared" si="117"/>
        <v>8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1231.3289324035445</v>
      </c>
      <c r="AD104" s="57">
        <v>0</v>
      </c>
      <c r="AE104" s="57">
        <v>0</v>
      </c>
      <c r="AF104" s="61">
        <f t="shared" si="105"/>
        <v>8</v>
      </c>
      <c r="AG104" s="40">
        <f t="shared" si="118"/>
        <v>0</v>
      </c>
      <c r="AH104" s="40">
        <f t="shared" si="119"/>
        <v>0</v>
      </c>
      <c r="AI104" s="44">
        <f t="shared" si="120"/>
        <v>9850.6314592283561</v>
      </c>
      <c r="AJ104" s="35">
        <f t="shared" si="106"/>
        <v>8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1320.5380434747533</v>
      </c>
      <c r="AL104" s="57">
        <v>0</v>
      </c>
      <c r="AM104" s="57">
        <v>0</v>
      </c>
      <c r="AN104" s="61">
        <f t="shared" si="107"/>
        <v>8</v>
      </c>
      <c r="AO104" s="40">
        <f t="shared" si="121"/>
        <v>0</v>
      </c>
      <c r="AP104" s="40">
        <f t="shared" si="122"/>
        <v>0</v>
      </c>
      <c r="AQ104" s="44">
        <f t="shared" si="123"/>
        <v>10564.304347798026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3</v>
      </c>
      <c r="G105" s="35">
        <f>SUMIFS(WORKING!$AC$3:$AC$6802,WORKING!$A$3:$A$6802,Results!$D$3,WORKING!$B$3:$B$6802,Results!A105,WORKING!$C$3:$C$6802,Results!C105)/1000</f>
        <v>3545.7279100000001</v>
      </c>
      <c r="H105" s="35">
        <f t="shared" si="108"/>
        <v>1181.9093033333334</v>
      </c>
      <c r="I105" s="187">
        <v>2</v>
      </c>
      <c r="J105" s="212" t="s">
        <v>754</v>
      </c>
      <c r="K105" s="217">
        <f t="shared" si="109"/>
        <v>1772.863955</v>
      </c>
      <c r="L105" s="34">
        <f t="shared" si="102"/>
        <v>2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1857.7963813624249</v>
      </c>
      <c r="N105" s="57">
        <v>0</v>
      </c>
      <c r="O105" s="57">
        <v>0</v>
      </c>
      <c r="P105" s="61">
        <f t="shared" si="103"/>
        <v>2</v>
      </c>
      <c r="Q105" s="40">
        <f t="shared" si="110"/>
        <v>0</v>
      </c>
      <c r="R105" s="40">
        <f t="shared" si="111"/>
        <v>0</v>
      </c>
      <c r="S105" s="44">
        <f t="shared" si="112"/>
        <v>3715.5927627248498</v>
      </c>
      <c r="T105" s="35">
        <f t="shared" si="113"/>
        <v>2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1997.6820105672803</v>
      </c>
      <c r="V105" s="57">
        <v>0</v>
      </c>
      <c r="W105" s="57">
        <v>0</v>
      </c>
      <c r="X105" s="61">
        <f t="shared" si="104"/>
        <v>2</v>
      </c>
      <c r="Y105" s="40">
        <f t="shared" si="114"/>
        <v>0</v>
      </c>
      <c r="Z105" s="40">
        <f t="shared" si="115"/>
        <v>0</v>
      </c>
      <c r="AA105" s="44">
        <f t="shared" si="116"/>
        <v>3995.3640211345605</v>
      </c>
      <c r="AB105" s="35">
        <f t="shared" si="117"/>
        <v>2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2146.0740329225969</v>
      </c>
      <c r="AD105" s="57">
        <v>0</v>
      </c>
      <c r="AE105" s="57">
        <v>0</v>
      </c>
      <c r="AF105" s="61">
        <f t="shared" si="105"/>
        <v>2</v>
      </c>
      <c r="AG105" s="40">
        <f t="shared" si="118"/>
        <v>0</v>
      </c>
      <c r="AH105" s="40">
        <f t="shared" si="119"/>
        <v>0</v>
      </c>
      <c r="AI105" s="44">
        <f t="shared" si="120"/>
        <v>4292.1480658451937</v>
      </c>
      <c r="AJ105" s="35">
        <f t="shared" si="106"/>
        <v>2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2301.134840140895</v>
      </c>
      <c r="AL105" s="57">
        <v>0</v>
      </c>
      <c r="AM105" s="57">
        <v>0</v>
      </c>
      <c r="AN105" s="61">
        <f t="shared" si="107"/>
        <v>2</v>
      </c>
      <c r="AO105" s="40">
        <f t="shared" si="121"/>
        <v>0</v>
      </c>
      <c r="AP105" s="40">
        <f t="shared" si="122"/>
        <v>0</v>
      </c>
      <c r="AQ105" s="44">
        <f t="shared" si="123"/>
        <v>4602.26968028179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0</v>
      </c>
      <c r="G106" s="35">
        <f>SUMIFS(WORKING!$AC$3:$AC$6802,WORKING!$A$3:$A$6802,Results!$D$3,WORKING!$B$3:$B$6802,Results!A106,WORKING!$C$3:$C$6802,Results!C106)/1000</f>
        <v>52.04213</v>
      </c>
      <c r="H106" s="35">
        <f t="shared" si="108"/>
        <v>0</v>
      </c>
      <c r="I106" s="187" t="s">
        <v>754</v>
      </c>
      <c r="J106" s="212" t="s">
        <v>754</v>
      </c>
      <c r="K106" s="217" t="str">
        <f t="shared" si="109"/>
        <v/>
      </c>
      <c r="L106" s="34">
        <f t="shared" si="102"/>
        <v>0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0</v>
      </c>
      <c r="N106" s="57">
        <v>0</v>
      </c>
      <c r="O106" s="57">
        <v>0</v>
      </c>
      <c r="P106" s="61">
        <f t="shared" si="103"/>
        <v>0</v>
      </c>
      <c r="Q106" s="40">
        <f t="shared" si="110"/>
        <v>0</v>
      </c>
      <c r="R106" s="40">
        <f t="shared" si="111"/>
        <v>0</v>
      </c>
      <c r="S106" s="44">
        <f t="shared" si="112"/>
        <v>0</v>
      </c>
      <c r="T106" s="35">
        <f t="shared" si="113"/>
        <v>0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0</v>
      </c>
      <c r="V106" s="57">
        <v>0</v>
      </c>
      <c r="W106" s="57">
        <v>0</v>
      </c>
      <c r="X106" s="61">
        <f t="shared" si="104"/>
        <v>0</v>
      </c>
      <c r="Y106" s="40">
        <f t="shared" si="114"/>
        <v>0</v>
      </c>
      <c r="Z106" s="40">
        <f t="shared" si="115"/>
        <v>0</v>
      </c>
      <c r="AA106" s="44">
        <f t="shared" si="116"/>
        <v>0</v>
      </c>
      <c r="AB106" s="35">
        <f t="shared" si="117"/>
        <v>0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0</v>
      </c>
      <c r="AD106" s="57">
        <v>0</v>
      </c>
      <c r="AE106" s="57">
        <v>0</v>
      </c>
      <c r="AF106" s="61">
        <f t="shared" si="105"/>
        <v>0</v>
      </c>
      <c r="AG106" s="40">
        <f t="shared" si="118"/>
        <v>0</v>
      </c>
      <c r="AH106" s="40">
        <f t="shared" si="119"/>
        <v>0</v>
      </c>
      <c r="AI106" s="44">
        <f t="shared" si="120"/>
        <v>0</v>
      </c>
      <c r="AJ106" s="35">
        <f t="shared" si="106"/>
        <v>0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0</v>
      </c>
      <c r="AL106" s="57">
        <v>0</v>
      </c>
      <c r="AM106" s="57">
        <v>0</v>
      </c>
      <c r="AN106" s="61">
        <f t="shared" si="107"/>
        <v>0</v>
      </c>
      <c r="AO106" s="40">
        <f t="shared" si="121"/>
        <v>0</v>
      </c>
      <c r="AP106" s="40">
        <f t="shared" si="122"/>
        <v>0</v>
      </c>
      <c r="AQ106" s="44">
        <f t="shared" si="123"/>
        <v>0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55</v>
      </c>
      <c r="G112" s="41">
        <f>SUM(G92:G111)</f>
        <v>31384.665130000001</v>
      </c>
      <c r="H112" s="41">
        <f>IFERROR(G112/F112,0)</f>
        <v>570.63027509090909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52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31384.665130000001</v>
      </c>
      <c r="K112" s="41">
        <f>IFERROR(J112/I112,"")</f>
        <v>603.55125250000003</v>
      </c>
      <c r="L112" s="41">
        <f>SUM(L92:L111)</f>
        <v>52</v>
      </c>
      <c r="M112" s="41">
        <f>IFERROR(S112/P112,0)</f>
        <v>647.360659083629</v>
      </c>
      <c r="N112" s="41">
        <f t="shared" ref="N112:T112" si="124">SUM(N92:N111)</f>
        <v>0</v>
      </c>
      <c r="O112" s="41">
        <f t="shared" si="124"/>
        <v>0</v>
      </c>
      <c r="P112" s="41">
        <f t="shared" si="124"/>
        <v>52</v>
      </c>
      <c r="Q112" s="41">
        <f t="shared" si="124"/>
        <v>0</v>
      </c>
      <c r="R112" s="41">
        <f t="shared" si="124"/>
        <v>0</v>
      </c>
      <c r="S112" s="45">
        <f t="shared" si="124"/>
        <v>33662.754272348706</v>
      </c>
      <c r="T112" s="41">
        <f t="shared" si="124"/>
        <v>52</v>
      </c>
      <c r="U112" s="41">
        <f>IFERROR(AA112/X112,0)</f>
        <v>722.66184854742562</v>
      </c>
      <c r="V112" s="41">
        <f t="shared" ref="V112:AB112" si="125">SUM(V92:V111)</f>
        <v>0</v>
      </c>
      <c r="W112" s="41">
        <f t="shared" si="125"/>
        <v>2</v>
      </c>
      <c r="X112" s="41">
        <f t="shared" si="125"/>
        <v>50</v>
      </c>
      <c r="Y112" s="41">
        <f t="shared" si="125"/>
        <v>0</v>
      </c>
      <c r="Z112" s="41">
        <f t="shared" si="125"/>
        <v>-276.47716362619099</v>
      </c>
      <c r="AA112" s="45">
        <f t="shared" si="125"/>
        <v>36133.092427371281</v>
      </c>
      <c r="AB112" s="41">
        <f t="shared" si="125"/>
        <v>50</v>
      </c>
      <c r="AC112" s="41">
        <f>IFERROR(AI112/AF112,0)</f>
        <v>780.88673617569498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50</v>
      </c>
      <c r="AG112" s="41">
        <f t="shared" si="126"/>
        <v>0</v>
      </c>
      <c r="AH112" s="41">
        <f t="shared" si="126"/>
        <v>0</v>
      </c>
      <c r="AI112" s="45">
        <f t="shared" si="126"/>
        <v>39044.336808784748</v>
      </c>
      <c r="AJ112" s="41">
        <f t="shared" si="126"/>
        <v>50</v>
      </c>
      <c r="AK112" s="41">
        <f>IFERROR(AQ112/AN112,0)</f>
        <v>842.23451414924818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50</v>
      </c>
      <c r="AO112" s="41">
        <f t="shared" si="127"/>
        <v>0</v>
      </c>
      <c r="AP112" s="41">
        <f t="shared" si="127"/>
        <v>0</v>
      </c>
      <c r="AQ112" s="45">
        <f t="shared" si="127"/>
        <v>42111.725707462407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34769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33806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37065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39881.94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1106.2457276512941</v>
      </c>
      <c r="T114" s="39"/>
      <c r="U114" s="39"/>
      <c r="V114" s="53"/>
      <c r="W114" s="53"/>
      <c r="X114" s="110"/>
      <c r="Y114" s="39"/>
      <c r="Z114" s="39"/>
      <c r="AA114" s="54">
        <f>AA113-AA112</f>
        <v>-2327.0924273712808</v>
      </c>
      <c r="AB114" s="39"/>
      <c r="AC114" s="53"/>
      <c r="AD114" s="53"/>
      <c r="AE114" s="110"/>
      <c r="AF114" s="39"/>
      <c r="AG114" s="39"/>
      <c r="AH114" s="39"/>
      <c r="AI114" s="54">
        <f>AI113-AI112</f>
        <v>-1979.3368087847484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-2229.7857074624044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Petroleum and Petroleum Products Regulation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 t="s">
        <v>754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3</v>
      </c>
      <c r="G121" s="35">
        <f>SUMIFS(WORKING!$AC$3:$AC$6802,WORKING!$A$3:$A$6802,Results!$D$3,WORKING!$B$3:$B$6802,Results!A121,WORKING!$C$3:$C$6802,Results!C121)/1000</f>
        <v>237.61576000000002</v>
      </c>
      <c r="H121" s="35">
        <f t="shared" ref="H121:H139" si="134">IFERROR(G121/F121,0)</f>
        <v>79.205253333333346</v>
      </c>
      <c r="I121" s="187">
        <v>2</v>
      </c>
      <c r="J121" s="212" t="s">
        <v>754</v>
      </c>
      <c r="K121" s="217">
        <f t="shared" ref="K121:K139" si="135">IFERROR(IF(J121="",G121,J121)/IF(I121="",F121,I121),"")</f>
        <v>118.80788000000001</v>
      </c>
      <c r="L121" s="34">
        <f t="shared" si="128"/>
        <v>2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129.7548380632</v>
      </c>
      <c r="N121" s="57">
        <v>0</v>
      </c>
      <c r="O121" s="57">
        <v>0</v>
      </c>
      <c r="P121" s="61">
        <f t="shared" si="129"/>
        <v>2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259.5096761264</v>
      </c>
      <c r="T121" s="35">
        <f t="shared" ref="T121:T139" si="139">P121</f>
        <v>2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140.92024187853835</v>
      </c>
      <c r="V121" s="57">
        <v>0</v>
      </c>
      <c r="W121" s="57">
        <v>2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-281.8404837570767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152.90339464667983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165.59514091932746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 t="s">
        <v>754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1.29823</v>
      </c>
      <c r="H123" s="35">
        <f t="shared" si="134"/>
        <v>0</v>
      </c>
      <c r="I123" s="187" t="s">
        <v>754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31</v>
      </c>
      <c r="G124" s="35">
        <f>SUMIFS(WORKING!$AC$3:$AC$6802,WORKING!$A$3:$A$6802,Results!$D$3,WORKING!$B$3:$B$6802,Results!A124,WORKING!$C$3:$C$6802,Results!C124)/1000</f>
        <v>6516.6514000000006</v>
      </c>
      <c r="H124" s="35">
        <f t="shared" si="134"/>
        <v>210.21456129032259</v>
      </c>
      <c r="I124" s="187">
        <v>31</v>
      </c>
      <c r="J124" s="212" t="s">
        <v>754</v>
      </c>
      <c r="K124" s="217">
        <f t="shared" si="135"/>
        <v>210.21456129032259</v>
      </c>
      <c r="L124" s="34">
        <f t="shared" si="128"/>
        <v>31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228.4042955307176</v>
      </c>
      <c r="N124" s="57">
        <v>0</v>
      </c>
      <c r="O124" s="57">
        <v>0</v>
      </c>
      <c r="P124" s="61">
        <f t="shared" si="129"/>
        <v>31</v>
      </c>
      <c r="Q124" s="40">
        <f t="shared" si="136"/>
        <v>0</v>
      </c>
      <c r="R124" s="40">
        <f t="shared" si="137"/>
        <v>0</v>
      </c>
      <c r="S124" s="44">
        <f t="shared" si="138"/>
        <v>7080.5331614522456</v>
      </c>
      <c r="T124" s="35">
        <f t="shared" si="139"/>
        <v>31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247.6923977838685</v>
      </c>
      <c r="V124" s="57">
        <v>0</v>
      </c>
      <c r="W124" s="57">
        <v>0</v>
      </c>
      <c r="X124" s="61">
        <f t="shared" si="130"/>
        <v>31</v>
      </c>
      <c r="Y124" s="40">
        <f t="shared" si="140"/>
        <v>0</v>
      </c>
      <c r="Z124" s="40">
        <f t="shared" si="141"/>
        <v>0</v>
      </c>
      <c r="AA124" s="44">
        <f t="shared" si="142"/>
        <v>7678.4643312999233</v>
      </c>
      <c r="AB124" s="35">
        <f t="shared" si="143"/>
        <v>31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268.35840058387106</v>
      </c>
      <c r="AD124" s="57">
        <v>0</v>
      </c>
      <c r="AE124" s="57">
        <v>0</v>
      </c>
      <c r="AF124" s="61">
        <f t="shared" si="131"/>
        <v>31</v>
      </c>
      <c r="AG124" s="40">
        <f t="shared" si="144"/>
        <v>0</v>
      </c>
      <c r="AH124" s="40">
        <f t="shared" si="145"/>
        <v>0</v>
      </c>
      <c r="AI124" s="44">
        <f t="shared" si="146"/>
        <v>8319.1104181000028</v>
      </c>
      <c r="AJ124" s="35">
        <f t="shared" si="132"/>
        <v>31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290.20493088162516</v>
      </c>
      <c r="AL124" s="57">
        <v>0</v>
      </c>
      <c r="AM124" s="57">
        <v>0</v>
      </c>
      <c r="AN124" s="61">
        <f t="shared" si="133"/>
        <v>31</v>
      </c>
      <c r="AO124" s="40">
        <f t="shared" si="147"/>
        <v>0</v>
      </c>
      <c r="AP124" s="40">
        <f t="shared" si="148"/>
        <v>0</v>
      </c>
      <c r="AQ124" s="44">
        <f t="shared" si="149"/>
        <v>8996.3528573303793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0</v>
      </c>
      <c r="G125" s="35">
        <f>SUMIFS(WORKING!$AC$3:$AC$6802,WORKING!$A$3:$A$6802,Results!$D$3,WORKING!$B$3:$B$6802,Results!A125,WORKING!$C$3:$C$6802,Results!C125)/1000</f>
        <v>0</v>
      </c>
      <c r="H125" s="35">
        <f t="shared" si="134"/>
        <v>0</v>
      </c>
      <c r="I125" s="187" t="s">
        <v>754</v>
      </c>
      <c r="J125" s="212" t="s">
        <v>754</v>
      </c>
      <c r="K125" s="217" t="str">
        <f t="shared" si="135"/>
        <v/>
      </c>
      <c r="L125" s="34">
        <f t="shared" si="128"/>
        <v>0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0</v>
      </c>
      <c r="N125" s="57">
        <v>0</v>
      </c>
      <c r="O125" s="57">
        <v>0</v>
      </c>
      <c r="P125" s="61">
        <f t="shared" si="129"/>
        <v>0</v>
      </c>
      <c r="Q125" s="40">
        <f t="shared" si="136"/>
        <v>0</v>
      </c>
      <c r="R125" s="40">
        <f t="shared" si="137"/>
        <v>0</v>
      </c>
      <c r="S125" s="44">
        <f t="shared" si="138"/>
        <v>0</v>
      </c>
      <c r="T125" s="35">
        <f t="shared" si="139"/>
        <v>0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0</v>
      </c>
      <c r="V125" s="57">
        <v>0</v>
      </c>
      <c r="W125" s="57">
        <v>0</v>
      </c>
      <c r="X125" s="61">
        <f t="shared" si="130"/>
        <v>0</v>
      </c>
      <c r="Y125" s="40">
        <f t="shared" si="140"/>
        <v>0</v>
      </c>
      <c r="Z125" s="40">
        <f t="shared" si="141"/>
        <v>0</v>
      </c>
      <c r="AA125" s="44">
        <f t="shared" si="142"/>
        <v>0</v>
      </c>
      <c r="AB125" s="35">
        <f t="shared" si="143"/>
        <v>0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0</v>
      </c>
      <c r="AD125" s="57">
        <v>0</v>
      </c>
      <c r="AE125" s="57">
        <v>0</v>
      </c>
      <c r="AF125" s="61">
        <f t="shared" si="131"/>
        <v>0</v>
      </c>
      <c r="AG125" s="40">
        <f t="shared" si="144"/>
        <v>0</v>
      </c>
      <c r="AH125" s="40">
        <f t="shared" si="145"/>
        <v>0</v>
      </c>
      <c r="AI125" s="44">
        <f t="shared" si="146"/>
        <v>0</v>
      </c>
      <c r="AJ125" s="35">
        <f t="shared" si="132"/>
        <v>0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0</v>
      </c>
      <c r="AL125" s="57">
        <v>0</v>
      </c>
      <c r="AM125" s="57">
        <v>0</v>
      </c>
      <c r="AN125" s="61">
        <f t="shared" si="133"/>
        <v>0</v>
      </c>
      <c r="AO125" s="40">
        <f t="shared" si="147"/>
        <v>0</v>
      </c>
      <c r="AP125" s="40">
        <f t="shared" si="148"/>
        <v>0</v>
      </c>
      <c r="AQ125" s="44">
        <f t="shared" si="149"/>
        <v>0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13</v>
      </c>
      <c r="G126" s="35">
        <f>SUMIFS(WORKING!$AC$3:$AC$6802,WORKING!$A$3:$A$6802,Results!$D$3,WORKING!$B$3:$B$6802,Results!A126,WORKING!$C$3:$C$6802,Results!C126)/1000</f>
        <v>3905.6347099999998</v>
      </c>
      <c r="H126" s="35">
        <f t="shared" si="134"/>
        <v>300.43343923076924</v>
      </c>
      <c r="I126" s="187">
        <v>14</v>
      </c>
      <c r="J126" s="212" t="s">
        <v>754</v>
      </c>
      <c r="K126" s="217">
        <f t="shared" si="135"/>
        <v>278.97390785714282</v>
      </c>
      <c r="L126" s="34">
        <f t="shared" si="128"/>
        <v>14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303.59471695464902</v>
      </c>
      <c r="N126" s="57">
        <v>0</v>
      </c>
      <c r="O126" s="57">
        <v>0</v>
      </c>
      <c r="P126" s="61">
        <f t="shared" si="129"/>
        <v>14</v>
      </c>
      <c r="Q126" s="40">
        <f t="shared" si="136"/>
        <v>0</v>
      </c>
      <c r="R126" s="40">
        <f t="shared" si="137"/>
        <v>0</v>
      </c>
      <c r="S126" s="44">
        <f t="shared" si="138"/>
        <v>4250.3260373650864</v>
      </c>
      <c r="T126" s="35">
        <f t="shared" si="139"/>
        <v>14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329.38124597357506</v>
      </c>
      <c r="V126" s="57">
        <v>0</v>
      </c>
      <c r="W126" s="57">
        <v>1</v>
      </c>
      <c r="X126" s="61">
        <f t="shared" si="130"/>
        <v>13</v>
      </c>
      <c r="Y126" s="40">
        <f t="shared" si="140"/>
        <v>0</v>
      </c>
      <c r="Z126" s="40">
        <f t="shared" si="141"/>
        <v>-329.38124597357506</v>
      </c>
      <c r="AA126" s="44">
        <f t="shared" si="142"/>
        <v>4281.9561976564755</v>
      </c>
      <c r="AB126" s="35">
        <f t="shared" si="143"/>
        <v>13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357.02418962977515</v>
      </c>
      <c r="AD126" s="57">
        <v>0</v>
      </c>
      <c r="AE126" s="57">
        <v>0</v>
      </c>
      <c r="AF126" s="61">
        <f t="shared" si="131"/>
        <v>13</v>
      </c>
      <c r="AG126" s="40">
        <f t="shared" si="144"/>
        <v>0</v>
      </c>
      <c r="AH126" s="40">
        <f t="shared" si="145"/>
        <v>0</v>
      </c>
      <c r="AI126" s="44">
        <f t="shared" si="146"/>
        <v>4641.3144651870771</v>
      </c>
      <c r="AJ126" s="35">
        <f t="shared" si="132"/>
        <v>13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386.26335463908657</v>
      </c>
      <c r="AL126" s="57">
        <v>0</v>
      </c>
      <c r="AM126" s="57">
        <v>0</v>
      </c>
      <c r="AN126" s="61">
        <f t="shared" si="133"/>
        <v>13</v>
      </c>
      <c r="AO126" s="40">
        <f t="shared" si="147"/>
        <v>0</v>
      </c>
      <c r="AP126" s="40">
        <f t="shared" si="148"/>
        <v>0</v>
      </c>
      <c r="AQ126" s="44">
        <f t="shared" si="149"/>
        <v>5021.4236103081257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11</v>
      </c>
      <c r="G127" s="35">
        <f>SUMIFS(WORKING!$AC$3:$AC$6802,WORKING!$A$3:$A$6802,Results!$D$3,WORKING!$B$3:$B$6802,Results!A127,WORKING!$C$3:$C$6802,Results!C127)/1000</f>
        <v>4152.3714799999998</v>
      </c>
      <c r="H127" s="35">
        <f t="shared" si="134"/>
        <v>377.48831636363633</v>
      </c>
      <c r="I127" s="187">
        <v>11</v>
      </c>
      <c r="J127" s="212" t="s">
        <v>754</v>
      </c>
      <c r="K127" s="217">
        <f t="shared" si="135"/>
        <v>377.48831636363633</v>
      </c>
      <c r="L127" s="34">
        <f t="shared" si="128"/>
        <v>11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410.8711225400117</v>
      </c>
      <c r="N127" s="57">
        <v>0</v>
      </c>
      <c r="O127" s="57">
        <v>0</v>
      </c>
      <c r="P127" s="61">
        <f t="shared" si="129"/>
        <v>11</v>
      </c>
      <c r="Q127" s="40">
        <f t="shared" si="136"/>
        <v>0</v>
      </c>
      <c r="R127" s="40">
        <f t="shared" si="137"/>
        <v>0</v>
      </c>
      <c r="S127" s="44">
        <f t="shared" si="138"/>
        <v>4519.5823479401288</v>
      </c>
      <c r="T127" s="35">
        <f t="shared" si="139"/>
        <v>11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445.79179511807087</v>
      </c>
      <c r="V127" s="57">
        <v>0</v>
      </c>
      <c r="W127" s="57">
        <v>0</v>
      </c>
      <c r="X127" s="61">
        <f t="shared" si="130"/>
        <v>11</v>
      </c>
      <c r="Y127" s="40">
        <f t="shared" si="140"/>
        <v>0</v>
      </c>
      <c r="Z127" s="40">
        <f t="shared" si="141"/>
        <v>0</v>
      </c>
      <c r="AA127" s="44">
        <f t="shared" si="142"/>
        <v>4903.7097462987795</v>
      </c>
      <c r="AB127" s="35">
        <f t="shared" si="143"/>
        <v>11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483.22854363489881</v>
      </c>
      <c r="AD127" s="57">
        <v>0</v>
      </c>
      <c r="AE127" s="57">
        <v>0</v>
      </c>
      <c r="AF127" s="61">
        <f t="shared" si="131"/>
        <v>11</v>
      </c>
      <c r="AG127" s="40">
        <f t="shared" si="144"/>
        <v>0</v>
      </c>
      <c r="AH127" s="40">
        <f t="shared" si="145"/>
        <v>0</v>
      </c>
      <c r="AI127" s="44">
        <f t="shared" si="146"/>
        <v>5315.5139799838871</v>
      </c>
      <c r="AJ127" s="35">
        <f t="shared" si="132"/>
        <v>11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522.82947158091065</v>
      </c>
      <c r="AL127" s="57">
        <v>0</v>
      </c>
      <c r="AM127" s="57">
        <v>0</v>
      </c>
      <c r="AN127" s="61">
        <f t="shared" si="133"/>
        <v>11</v>
      </c>
      <c r="AO127" s="40">
        <f t="shared" si="147"/>
        <v>0</v>
      </c>
      <c r="AP127" s="40">
        <f t="shared" si="148"/>
        <v>0</v>
      </c>
      <c r="AQ127" s="44">
        <f t="shared" si="149"/>
        <v>5751.1241873900171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4</v>
      </c>
      <c r="G128" s="35">
        <f>SUMIFS(WORKING!$AC$3:$AC$6802,WORKING!$A$3:$A$6802,Results!$D$3,WORKING!$B$3:$B$6802,Results!A128,WORKING!$C$3:$C$6802,Results!C128)/1000</f>
        <v>1667.8720100000003</v>
      </c>
      <c r="H128" s="35">
        <f t="shared" si="134"/>
        <v>416.96800250000007</v>
      </c>
      <c r="I128" s="187">
        <v>4</v>
      </c>
      <c r="J128" s="212" t="s">
        <v>754</v>
      </c>
      <c r="K128" s="217">
        <f t="shared" si="135"/>
        <v>416.96800250000007</v>
      </c>
      <c r="L128" s="34">
        <f t="shared" si="128"/>
        <v>4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454.17059199526739</v>
      </c>
      <c r="N128" s="57">
        <v>0</v>
      </c>
      <c r="O128" s="57">
        <v>0</v>
      </c>
      <c r="P128" s="61">
        <f t="shared" si="129"/>
        <v>4</v>
      </c>
      <c r="Q128" s="40">
        <f t="shared" si="136"/>
        <v>0</v>
      </c>
      <c r="R128" s="40">
        <f t="shared" si="137"/>
        <v>0</v>
      </c>
      <c r="S128" s="44">
        <f t="shared" si="138"/>
        <v>1816.6823679810695</v>
      </c>
      <c r="T128" s="35">
        <f t="shared" si="139"/>
        <v>4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492.87541600363431</v>
      </c>
      <c r="V128" s="57">
        <v>0</v>
      </c>
      <c r="W128" s="57">
        <v>0</v>
      </c>
      <c r="X128" s="61">
        <f t="shared" si="130"/>
        <v>4</v>
      </c>
      <c r="Y128" s="40">
        <f t="shared" si="140"/>
        <v>0</v>
      </c>
      <c r="Z128" s="40">
        <f t="shared" si="141"/>
        <v>0</v>
      </c>
      <c r="AA128" s="44">
        <f t="shared" si="142"/>
        <v>1971.5016640145373</v>
      </c>
      <c r="AB128" s="35">
        <f t="shared" si="143"/>
        <v>4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534.37884497595314</v>
      </c>
      <c r="AD128" s="57">
        <v>0</v>
      </c>
      <c r="AE128" s="57">
        <v>0</v>
      </c>
      <c r="AF128" s="61">
        <f t="shared" si="131"/>
        <v>4</v>
      </c>
      <c r="AG128" s="40">
        <f t="shared" si="144"/>
        <v>0</v>
      </c>
      <c r="AH128" s="40">
        <f t="shared" si="145"/>
        <v>0</v>
      </c>
      <c r="AI128" s="44">
        <f t="shared" si="146"/>
        <v>2137.5153799038126</v>
      </c>
      <c r="AJ128" s="35">
        <f t="shared" si="132"/>
        <v>4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578.2932503707824</v>
      </c>
      <c r="AL128" s="57">
        <v>0</v>
      </c>
      <c r="AM128" s="57">
        <v>0</v>
      </c>
      <c r="AN128" s="61">
        <f t="shared" si="133"/>
        <v>4</v>
      </c>
      <c r="AO128" s="40">
        <f t="shared" si="147"/>
        <v>0</v>
      </c>
      <c r="AP128" s="40">
        <f t="shared" si="148"/>
        <v>0</v>
      </c>
      <c r="AQ128" s="44">
        <f t="shared" si="149"/>
        <v>2313.1730014831296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33</v>
      </c>
      <c r="G129" s="35">
        <f>SUMIFS(WORKING!$AC$3:$AC$6802,WORKING!$A$3:$A$6802,Results!$D$3,WORKING!$B$3:$B$6802,Results!A129,WORKING!$C$3:$C$6802,Results!C129)/1000</f>
        <v>15786.399550000002</v>
      </c>
      <c r="H129" s="35">
        <f t="shared" si="134"/>
        <v>478.375743939394</v>
      </c>
      <c r="I129" s="187">
        <v>33</v>
      </c>
      <c r="J129" s="212" t="s">
        <v>754</v>
      </c>
      <c r="K129" s="217">
        <f t="shared" si="135"/>
        <v>478.375743939394</v>
      </c>
      <c r="L129" s="34">
        <f t="shared" si="128"/>
        <v>33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521.35406055961096</v>
      </c>
      <c r="N129" s="57">
        <v>0</v>
      </c>
      <c r="O129" s="57">
        <v>0</v>
      </c>
      <c r="P129" s="61">
        <f t="shared" si="129"/>
        <v>33</v>
      </c>
      <c r="Q129" s="40">
        <f t="shared" si="136"/>
        <v>0</v>
      </c>
      <c r="R129" s="40">
        <f t="shared" si="137"/>
        <v>0</v>
      </c>
      <c r="S129" s="44">
        <f t="shared" si="138"/>
        <v>17204.683998467161</v>
      </c>
      <c r="T129" s="35">
        <f t="shared" si="139"/>
        <v>33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565.87372386202685</v>
      </c>
      <c r="V129" s="57">
        <v>0</v>
      </c>
      <c r="W129" s="57">
        <v>0</v>
      </c>
      <c r="X129" s="61">
        <f t="shared" si="130"/>
        <v>33</v>
      </c>
      <c r="Y129" s="40">
        <f t="shared" si="140"/>
        <v>0</v>
      </c>
      <c r="Z129" s="40">
        <f t="shared" si="141"/>
        <v>0</v>
      </c>
      <c r="AA129" s="44">
        <f t="shared" si="142"/>
        <v>18673.832887446886</v>
      </c>
      <c r="AB129" s="35">
        <f t="shared" si="143"/>
        <v>33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613.62117069279475</v>
      </c>
      <c r="AD129" s="57">
        <v>0</v>
      </c>
      <c r="AE129" s="57">
        <v>0</v>
      </c>
      <c r="AF129" s="61">
        <f t="shared" si="131"/>
        <v>33</v>
      </c>
      <c r="AG129" s="40">
        <f t="shared" si="144"/>
        <v>0</v>
      </c>
      <c r="AH129" s="40">
        <f t="shared" si="145"/>
        <v>0</v>
      </c>
      <c r="AI129" s="44">
        <f t="shared" si="146"/>
        <v>20249.498632862225</v>
      </c>
      <c r="AJ129" s="35">
        <f t="shared" si="132"/>
        <v>33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664.15290971399804</v>
      </c>
      <c r="AL129" s="57">
        <v>0</v>
      </c>
      <c r="AM129" s="57">
        <v>0</v>
      </c>
      <c r="AN129" s="61">
        <f t="shared" si="133"/>
        <v>33</v>
      </c>
      <c r="AO129" s="40">
        <f t="shared" si="147"/>
        <v>0</v>
      </c>
      <c r="AP129" s="40">
        <f t="shared" si="148"/>
        <v>0</v>
      </c>
      <c r="AQ129" s="44">
        <f t="shared" si="149"/>
        <v>21917.046020561935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5</v>
      </c>
      <c r="G130" s="35">
        <f>SUMIFS(WORKING!$AC$3:$AC$6802,WORKING!$A$3:$A$6802,Results!$D$3,WORKING!$B$3:$B$6802,Results!A130,WORKING!$C$3:$C$6802,Results!C130)/1000</f>
        <v>3227.2950099999998</v>
      </c>
      <c r="H130" s="35">
        <f t="shared" si="134"/>
        <v>645.45900199999994</v>
      </c>
      <c r="I130" s="187">
        <v>6</v>
      </c>
      <c r="J130" s="212" t="s">
        <v>754</v>
      </c>
      <c r="K130" s="217">
        <f t="shared" si="135"/>
        <v>537.8825016666666</v>
      </c>
      <c r="L130" s="34">
        <f t="shared" si="128"/>
        <v>6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586.39224424823328</v>
      </c>
      <c r="N130" s="57">
        <v>0</v>
      </c>
      <c r="O130" s="57">
        <v>0</v>
      </c>
      <c r="P130" s="61">
        <f t="shared" si="129"/>
        <v>6</v>
      </c>
      <c r="Q130" s="40">
        <f t="shared" si="136"/>
        <v>0</v>
      </c>
      <c r="R130" s="40">
        <f t="shared" si="137"/>
        <v>0</v>
      </c>
      <c r="S130" s="44">
        <f t="shared" si="138"/>
        <v>3518.3534654893997</v>
      </c>
      <c r="T130" s="35">
        <f t="shared" si="139"/>
        <v>6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635.71216980154634</v>
      </c>
      <c r="V130" s="57">
        <v>0</v>
      </c>
      <c r="W130" s="57">
        <v>0</v>
      </c>
      <c r="X130" s="61">
        <f t="shared" si="130"/>
        <v>6</v>
      </c>
      <c r="Y130" s="40">
        <f t="shared" si="140"/>
        <v>0</v>
      </c>
      <c r="Z130" s="40">
        <f t="shared" si="141"/>
        <v>0</v>
      </c>
      <c r="AA130" s="44">
        <f t="shared" si="142"/>
        <v>3814.2730188092783</v>
      </c>
      <c r="AB130" s="35">
        <f t="shared" si="143"/>
        <v>6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688.53617222949174</v>
      </c>
      <c r="AD130" s="57">
        <v>0</v>
      </c>
      <c r="AE130" s="57">
        <v>0</v>
      </c>
      <c r="AF130" s="61">
        <f t="shared" si="131"/>
        <v>6</v>
      </c>
      <c r="AG130" s="40">
        <f t="shared" si="144"/>
        <v>0</v>
      </c>
      <c r="AH130" s="40">
        <f t="shared" si="145"/>
        <v>0</v>
      </c>
      <c r="AI130" s="44">
        <f t="shared" si="146"/>
        <v>4131.21703337695</v>
      </c>
      <c r="AJ130" s="35">
        <f t="shared" si="132"/>
        <v>6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744.3543152331398</v>
      </c>
      <c r="AL130" s="57">
        <v>0</v>
      </c>
      <c r="AM130" s="57">
        <v>1</v>
      </c>
      <c r="AN130" s="61">
        <f t="shared" si="133"/>
        <v>5</v>
      </c>
      <c r="AO130" s="40">
        <f t="shared" si="147"/>
        <v>0</v>
      </c>
      <c r="AP130" s="40">
        <f t="shared" si="148"/>
        <v>-744.3543152331398</v>
      </c>
      <c r="AQ130" s="44">
        <f t="shared" si="149"/>
        <v>3721.7715761656991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4</v>
      </c>
      <c r="G131" s="35">
        <f>SUMIFS(WORKING!$AC$3:$AC$6802,WORKING!$A$3:$A$6802,Results!$D$3,WORKING!$B$3:$B$6802,Results!A131,WORKING!$C$3:$C$6802,Results!C131)/1000</f>
        <v>2852.2317800000005</v>
      </c>
      <c r="H131" s="35">
        <f t="shared" si="134"/>
        <v>713.05794500000013</v>
      </c>
      <c r="I131" s="187">
        <v>4</v>
      </c>
      <c r="J131" s="212" t="s">
        <v>754</v>
      </c>
      <c r="K131" s="217">
        <f t="shared" si="135"/>
        <v>713.05794500000013</v>
      </c>
      <c r="L131" s="34">
        <f t="shared" si="128"/>
        <v>4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777.7838643641503</v>
      </c>
      <c r="N131" s="57">
        <v>0</v>
      </c>
      <c r="O131" s="57">
        <v>0</v>
      </c>
      <c r="P131" s="61">
        <f t="shared" si="129"/>
        <v>4</v>
      </c>
      <c r="Q131" s="40">
        <f t="shared" si="136"/>
        <v>0</v>
      </c>
      <c r="R131" s="40">
        <f t="shared" si="137"/>
        <v>0</v>
      </c>
      <c r="S131" s="44">
        <f t="shared" si="138"/>
        <v>3111.1354574566012</v>
      </c>
      <c r="T131" s="35">
        <f t="shared" si="139"/>
        <v>4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843.65433321380578</v>
      </c>
      <c r="V131" s="57">
        <v>0</v>
      </c>
      <c r="W131" s="57">
        <v>0</v>
      </c>
      <c r="X131" s="61">
        <f t="shared" si="130"/>
        <v>4</v>
      </c>
      <c r="Y131" s="40">
        <f t="shared" si="140"/>
        <v>0</v>
      </c>
      <c r="Z131" s="40">
        <f t="shared" si="141"/>
        <v>0</v>
      </c>
      <c r="AA131" s="44">
        <f t="shared" si="142"/>
        <v>3374.6173328552231</v>
      </c>
      <c r="AB131" s="35">
        <f t="shared" si="143"/>
        <v>4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914.24813132917302</v>
      </c>
      <c r="AD131" s="57">
        <v>0</v>
      </c>
      <c r="AE131" s="57">
        <v>0</v>
      </c>
      <c r="AF131" s="61">
        <f t="shared" si="131"/>
        <v>4</v>
      </c>
      <c r="AG131" s="40">
        <f t="shared" si="144"/>
        <v>0</v>
      </c>
      <c r="AH131" s="40">
        <f t="shared" si="145"/>
        <v>0</v>
      </c>
      <c r="AI131" s="44">
        <f t="shared" si="146"/>
        <v>3656.9925253166921</v>
      </c>
      <c r="AJ131" s="35">
        <f t="shared" si="132"/>
        <v>4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988.89535146668675</v>
      </c>
      <c r="AL131" s="57">
        <v>0</v>
      </c>
      <c r="AM131" s="57">
        <v>0</v>
      </c>
      <c r="AN131" s="61">
        <f t="shared" si="133"/>
        <v>4</v>
      </c>
      <c r="AO131" s="40">
        <f t="shared" si="147"/>
        <v>0</v>
      </c>
      <c r="AP131" s="40">
        <f t="shared" si="148"/>
        <v>0</v>
      </c>
      <c r="AQ131" s="44">
        <f t="shared" si="149"/>
        <v>3955.581405866747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13</v>
      </c>
      <c r="G132" s="35">
        <f>SUMIFS(WORKING!$AC$3:$AC$6802,WORKING!$A$3:$A$6802,Results!$D$3,WORKING!$B$3:$B$6802,Results!A132,WORKING!$C$3:$C$6802,Results!C132)/1000</f>
        <v>11554.98265</v>
      </c>
      <c r="H132" s="35">
        <f t="shared" si="134"/>
        <v>888.84481923076919</v>
      </c>
      <c r="I132" s="187">
        <v>15</v>
      </c>
      <c r="J132" s="212" t="s">
        <v>754</v>
      </c>
      <c r="K132" s="217">
        <f t="shared" si="135"/>
        <v>770.33217666666667</v>
      </c>
      <c r="L132" s="34">
        <f t="shared" si="128"/>
        <v>15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807.03029192004658</v>
      </c>
      <c r="N132" s="57">
        <v>0</v>
      </c>
      <c r="O132" s="57">
        <v>0</v>
      </c>
      <c r="P132" s="61">
        <f t="shared" si="129"/>
        <v>15</v>
      </c>
      <c r="Q132" s="40">
        <f t="shared" si="136"/>
        <v>0</v>
      </c>
      <c r="R132" s="40">
        <f t="shared" si="137"/>
        <v>0</v>
      </c>
      <c r="S132" s="44">
        <f t="shared" si="138"/>
        <v>12105.454378800699</v>
      </c>
      <c r="T132" s="35">
        <f t="shared" si="139"/>
        <v>15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867.57529716490205</v>
      </c>
      <c r="V132" s="57">
        <v>0</v>
      </c>
      <c r="W132" s="57">
        <v>0</v>
      </c>
      <c r="X132" s="61">
        <f t="shared" si="130"/>
        <v>15</v>
      </c>
      <c r="Y132" s="40">
        <f t="shared" si="140"/>
        <v>0</v>
      </c>
      <c r="Z132" s="40">
        <f t="shared" si="141"/>
        <v>0</v>
      </c>
      <c r="AA132" s="44">
        <f t="shared" si="142"/>
        <v>13013.629457473531</v>
      </c>
      <c r="AB132" s="35">
        <f t="shared" si="143"/>
        <v>15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931.78263790335177</v>
      </c>
      <c r="AD132" s="57">
        <v>0</v>
      </c>
      <c r="AE132" s="57">
        <v>1</v>
      </c>
      <c r="AF132" s="61">
        <f t="shared" si="131"/>
        <v>14</v>
      </c>
      <c r="AG132" s="40">
        <f t="shared" si="144"/>
        <v>0</v>
      </c>
      <c r="AH132" s="40">
        <f t="shared" si="145"/>
        <v>-931.78263790335177</v>
      </c>
      <c r="AI132" s="44">
        <f t="shared" si="146"/>
        <v>13044.956930646924</v>
      </c>
      <c r="AJ132" s="35">
        <f t="shared" si="132"/>
        <v>14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998.85184768275155</v>
      </c>
      <c r="AL132" s="57">
        <v>0</v>
      </c>
      <c r="AM132" s="57">
        <v>0</v>
      </c>
      <c r="AN132" s="61">
        <f t="shared" si="133"/>
        <v>14</v>
      </c>
      <c r="AO132" s="40">
        <f t="shared" si="147"/>
        <v>0</v>
      </c>
      <c r="AP132" s="40">
        <f t="shared" si="148"/>
        <v>0</v>
      </c>
      <c r="AQ132" s="44">
        <f t="shared" si="149"/>
        <v>13983.925867558522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2</v>
      </c>
      <c r="G133" s="35">
        <f>SUMIFS(WORKING!$AC$3:$AC$6802,WORKING!$A$3:$A$6802,Results!$D$3,WORKING!$B$3:$B$6802,Results!A133,WORKING!$C$3:$C$6802,Results!C133)/1000</f>
        <v>1946.057</v>
      </c>
      <c r="H133" s="35">
        <f t="shared" si="134"/>
        <v>973.02850000000001</v>
      </c>
      <c r="I133" s="187">
        <v>2</v>
      </c>
      <c r="J133" s="212" t="s">
        <v>754</v>
      </c>
      <c r="K133" s="217">
        <f t="shared" si="135"/>
        <v>973.02850000000001</v>
      </c>
      <c r="L133" s="34">
        <f t="shared" si="128"/>
        <v>2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1018.7420312388999</v>
      </c>
      <c r="N133" s="57">
        <v>0</v>
      </c>
      <c r="O133" s="57">
        <v>0</v>
      </c>
      <c r="P133" s="61">
        <f t="shared" si="129"/>
        <v>2</v>
      </c>
      <c r="Q133" s="40">
        <f t="shared" si="136"/>
        <v>0</v>
      </c>
      <c r="R133" s="40">
        <f t="shared" si="137"/>
        <v>0</v>
      </c>
      <c r="S133" s="44">
        <f t="shared" si="138"/>
        <v>2037.4840624777999</v>
      </c>
      <c r="T133" s="35">
        <f t="shared" si="139"/>
        <v>2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1094.48151762884</v>
      </c>
      <c r="V133" s="57">
        <v>0</v>
      </c>
      <c r="W133" s="57">
        <v>0</v>
      </c>
      <c r="X133" s="61">
        <f t="shared" si="130"/>
        <v>2</v>
      </c>
      <c r="Y133" s="40">
        <f t="shared" si="140"/>
        <v>0</v>
      </c>
      <c r="Z133" s="40">
        <f t="shared" si="141"/>
        <v>0</v>
      </c>
      <c r="AA133" s="44">
        <f t="shared" si="142"/>
        <v>2188.9630352576801</v>
      </c>
      <c r="AB133" s="35">
        <f t="shared" si="143"/>
        <v>2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1174.7426443826014</v>
      </c>
      <c r="AD133" s="57">
        <v>0</v>
      </c>
      <c r="AE133" s="57">
        <v>0</v>
      </c>
      <c r="AF133" s="61">
        <f t="shared" si="131"/>
        <v>2</v>
      </c>
      <c r="AG133" s="40">
        <f t="shared" si="144"/>
        <v>0</v>
      </c>
      <c r="AH133" s="40">
        <f t="shared" si="145"/>
        <v>0</v>
      </c>
      <c r="AI133" s="44">
        <f t="shared" si="146"/>
        <v>2349.4852887652028</v>
      </c>
      <c r="AJ133" s="35">
        <f t="shared" si="132"/>
        <v>2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1258.5082413444932</v>
      </c>
      <c r="AL133" s="57">
        <v>0</v>
      </c>
      <c r="AM133" s="57">
        <v>0</v>
      </c>
      <c r="AN133" s="61">
        <f t="shared" si="133"/>
        <v>2</v>
      </c>
      <c r="AO133" s="40">
        <f t="shared" si="147"/>
        <v>0</v>
      </c>
      <c r="AP133" s="40">
        <f t="shared" si="148"/>
        <v>0</v>
      </c>
      <c r="AQ133" s="44">
        <f t="shared" si="149"/>
        <v>2517.0164826889863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 t="s">
        <v>754</v>
      </c>
      <c r="J134" s="212" t="s">
        <v>754</v>
      </c>
      <c r="K134" s="217" t="str">
        <f t="shared" si="135"/>
        <v/>
      </c>
      <c r="L134" s="34">
        <f t="shared" si="128"/>
        <v>0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0</v>
      </c>
      <c r="N134" s="57">
        <v>0</v>
      </c>
      <c r="O134" s="57">
        <v>0</v>
      </c>
      <c r="P134" s="61">
        <f t="shared" si="129"/>
        <v>0</v>
      </c>
      <c r="Q134" s="40">
        <f t="shared" si="136"/>
        <v>0</v>
      </c>
      <c r="R134" s="40">
        <f t="shared" si="137"/>
        <v>0</v>
      </c>
      <c r="S134" s="44">
        <f t="shared" si="138"/>
        <v>0</v>
      </c>
      <c r="T134" s="35">
        <f t="shared" si="139"/>
        <v>0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0</v>
      </c>
      <c r="V134" s="57">
        <v>0</v>
      </c>
      <c r="W134" s="57">
        <v>0</v>
      </c>
      <c r="X134" s="61">
        <f t="shared" si="130"/>
        <v>0</v>
      </c>
      <c r="Y134" s="40">
        <f t="shared" si="140"/>
        <v>0</v>
      </c>
      <c r="Z134" s="40">
        <f t="shared" si="141"/>
        <v>0</v>
      </c>
      <c r="AA134" s="44">
        <f t="shared" si="142"/>
        <v>0</v>
      </c>
      <c r="AB134" s="35">
        <f t="shared" si="143"/>
        <v>0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0</v>
      </c>
      <c r="AD134" s="57">
        <v>0</v>
      </c>
      <c r="AE134" s="57">
        <v>0</v>
      </c>
      <c r="AF134" s="61">
        <f t="shared" si="131"/>
        <v>0</v>
      </c>
      <c r="AG134" s="40">
        <f t="shared" si="144"/>
        <v>0</v>
      </c>
      <c r="AH134" s="40">
        <f t="shared" si="145"/>
        <v>0</v>
      </c>
      <c r="AI134" s="44">
        <f t="shared" si="146"/>
        <v>0</v>
      </c>
      <c r="AJ134" s="35">
        <f t="shared" si="132"/>
        <v>0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0</v>
      </c>
      <c r="AL134" s="57">
        <v>0</v>
      </c>
      <c r="AM134" s="57">
        <v>0</v>
      </c>
      <c r="AN134" s="61">
        <f t="shared" si="133"/>
        <v>0</v>
      </c>
      <c r="AO134" s="40">
        <f t="shared" si="147"/>
        <v>0</v>
      </c>
      <c r="AP134" s="40">
        <f t="shared" si="148"/>
        <v>0</v>
      </c>
      <c r="AQ134" s="44">
        <f t="shared" si="149"/>
        <v>0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119</v>
      </c>
      <c r="G140" s="41">
        <f>SUM(G120:G139)</f>
        <v>51848.40958</v>
      </c>
      <c r="H140" s="41">
        <f>IFERROR(G140/F140,0)</f>
        <v>435.70092084033615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122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51848.40958</v>
      </c>
      <c r="K140" s="41">
        <f>IFERROR(J140/I140,"")</f>
        <v>424.9869637704918</v>
      </c>
      <c r="L140" s="41">
        <f>SUM(L120:L139)</f>
        <v>122</v>
      </c>
      <c r="M140" s="41">
        <f>IFERROR(S140/P140,0)</f>
        <v>458.22741765210321</v>
      </c>
      <c r="N140" s="41">
        <f t="shared" ref="N140:T140" si="151">SUM(N120:N139)</f>
        <v>0</v>
      </c>
      <c r="O140" s="41">
        <f t="shared" si="151"/>
        <v>0</v>
      </c>
      <c r="P140" s="41">
        <f t="shared" si="151"/>
        <v>122</v>
      </c>
      <c r="Q140" s="41">
        <f t="shared" si="151"/>
        <v>0</v>
      </c>
      <c r="R140" s="41">
        <f t="shared" si="151"/>
        <v>0</v>
      </c>
      <c r="S140" s="45">
        <f t="shared" si="151"/>
        <v>55903.74495355659</v>
      </c>
      <c r="T140" s="41">
        <f t="shared" si="151"/>
        <v>122</v>
      </c>
      <c r="U140" s="41">
        <f>IFERROR(AA140/X140,0)</f>
        <v>503.36930816060766</v>
      </c>
      <c r="V140" s="41">
        <f t="shared" ref="V140:AB140" si="152">SUM(V120:V139)</f>
        <v>0</v>
      </c>
      <c r="W140" s="41">
        <f t="shared" si="152"/>
        <v>3</v>
      </c>
      <c r="X140" s="41">
        <f t="shared" si="152"/>
        <v>119</v>
      </c>
      <c r="Y140" s="41">
        <f t="shared" si="152"/>
        <v>0</v>
      </c>
      <c r="Z140" s="41">
        <f t="shared" si="152"/>
        <v>-611.22172973065176</v>
      </c>
      <c r="AA140" s="45">
        <f t="shared" si="152"/>
        <v>59900.947671112313</v>
      </c>
      <c r="AB140" s="41">
        <f t="shared" si="152"/>
        <v>119</v>
      </c>
      <c r="AC140" s="41">
        <f>IFERROR(AI140/AF140,0)</f>
        <v>541.06444622154891</v>
      </c>
      <c r="AD140" s="41">
        <f t="shared" ref="AD140:AJ140" si="153">SUM(AD120:AD139)</f>
        <v>0</v>
      </c>
      <c r="AE140" s="41">
        <f t="shared" si="153"/>
        <v>1</v>
      </c>
      <c r="AF140" s="41">
        <f t="shared" si="153"/>
        <v>118</v>
      </c>
      <c r="AG140" s="41">
        <f t="shared" si="153"/>
        <v>0</v>
      </c>
      <c r="AH140" s="41">
        <f t="shared" si="153"/>
        <v>-931.78263790335177</v>
      </c>
      <c r="AI140" s="45">
        <f t="shared" si="153"/>
        <v>63845.604654142771</v>
      </c>
      <c r="AJ140" s="41">
        <f t="shared" si="153"/>
        <v>118</v>
      </c>
      <c r="AK140" s="41">
        <f>IFERROR(AQ140/AN140,0)</f>
        <v>582.71294879789355</v>
      </c>
      <c r="AL140" s="41">
        <f t="shared" ref="AL140:AQ140" si="154">SUM(AL120:AL139)</f>
        <v>0</v>
      </c>
      <c r="AM140" s="41">
        <f t="shared" si="154"/>
        <v>1</v>
      </c>
      <c r="AN140" s="41">
        <f t="shared" si="154"/>
        <v>117</v>
      </c>
      <c r="AO140" s="41">
        <f t="shared" si="154"/>
        <v>0</v>
      </c>
      <c r="AP140" s="41">
        <f t="shared" si="154"/>
        <v>-744.3543152331398</v>
      </c>
      <c r="AQ140" s="45">
        <f t="shared" si="154"/>
        <v>68177.415009353543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56792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55106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57470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61837.72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888.25504644340981</v>
      </c>
      <c r="T142" s="39"/>
      <c r="U142" s="39"/>
      <c r="V142" s="53"/>
      <c r="W142" s="53"/>
      <c r="X142" s="110"/>
      <c r="Y142" s="39"/>
      <c r="Z142" s="39"/>
      <c r="AA142" s="54">
        <f>AA141-AA140</f>
        <v>-4794.9476711123134</v>
      </c>
      <c r="AB142" s="39"/>
      <c r="AC142" s="53"/>
      <c r="AD142" s="53"/>
      <c r="AE142" s="110"/>
      <c r="AF142" s="39"/>
      <c r="AG142" s="39"/>
      <c r="AH142" s="39"/>
      <c r="AI142" s="54">
        <f>AI141-AI140</f>
        <v>-6375.6046541427713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-6339.6950093535415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Electrification and Energy Programme and Project Management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0.23344000000000001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11</v>
      </c>
      <c r="G149" s="35">
        <f>SUMIFS(WORKING!$AC$3:$AC$6802,WORKING!$A$3:$A$6802,Results!$D$3,WORKING!$B$3:$B$6802,Results!A149,WORKING!$C$3:$C$6802,Results!C149)/1000</f>
        <v>957.06166000000019</v>
      </c>
      <c r="H149" s="35">
        <f t="shared" ref="H149:H167" si="161">IFERROR(G149/F149,0)</f>
        <v>87.005605454545474</v>
      </c>
      <c r="I149" s="187">
        <v>11</v>
      </c>
      <c r="J149" s="212" t="s">
        <v>754</v>
      </c>
      <c r="K149" s="217">
        <f t="shared" ref="K149:K167" si="162">IFERROR(IF(J149="",G149,J149)/IF(I149="",F149,I149),"")</f>
        <v>87.005605454545474</v>
      </c>
      <c r="L149" s="34">
        <f t="shared" si="155"/>
        <v>11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95.022301941127296</v>
      </c>
      <c r="N149" s="57">
        <v>0</v>
      </c>
      <c r="O149" s="57">
        <v>0</v>
      </c>
      <c r="P149" s="61">
        <f t="shared" si="156"/>
        <v>11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1045.2453213524002</v>
      </c>
      <c r="T149" s="35">
        <f t="shared" ref="T149:T167" si="166">P149</f>
        <v>11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103.19897102316131</v>
      </c>
      <c r="V149" s="57">
        <v>0</v>
      </c>
      <c r="W149" s="57">
        <v>0</v>
      </c>
      <c r="X149" s="61">
        <f t="shared" si="157"/>
        <v>11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1135.1886812547743</v>
      </c>
      <c r="AB149" s="35">
        <f t="shared" ref="AB149:AB167" si="170">X149</f>
        <v>11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111.97449552411582</v>
      </c>
      <c r="AD149" s="57">
        <v>0</v>
      </c>
      <c r="AE149" s="57">
        <v>0</v>
      </c>
      <c r="AF149" s="61">
        <f t="shared" si="158"/>
        <v>11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1231.7194507652741</v>
      </c>
      <c r="AJ149" s="35">
        <f t="shared" si="159"/>
        <v>11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121.26893852509504</v>
      </c>
      <c r="AL149" s="57">
        <v>0</v>
      </c>
      <c r="AM149" s="57">
        <v>0</v>
      </c>
      <c r="AN149" s="61">
        <f t="shared" si="160"/>
        <v>11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1333.9583237760455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 t="s">
        <v>754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3</v>
      </c>
      <c r="G152" s="35">
        <f>SUMIFS(WORKING!$AC$3:$AC$6802,WORKING!$A$3:$A$6802,Results!$D$3,WORKING!$B$3:$B$6802,Results!A152,WORKING!$C$3:$C$6802,Results!C152)/1000</f>
        <v>502.43696</v>
      </c>
      <c r="H152" s="35">
        <f t="shared" si="161"/>
        <v>167.47898666666666</v>
      </c>
      <c r="I152" s="187">
        <v>2</v>
      </c>
      <c r="J152" s="212" t="s">
        <v>754</v>
      </c>
      <c r="K152" s="217">
        <f t="shared" si="162"/>
        <v>251.21848</v>
      </c>
      <c r="L152" s="34">
        <f t="shared" si="155"/>
        <v>2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273.30831664981849</v>
      </c>
      <c r="N152" s="57">
        <v>0</v>
      </c>
      <c r="O152" s="57">
        <v>0</v>
      </c>
      <c r="P152" s="61">
        <f t="shared" si="156"/>
        <v>2</v>
      </c>
      <c r="Q152" s="40">
        <f t="shared" si="163"/>
        <v>0</v>
      </c>
      <c r="R152" s="40">
        <f t="shared" si="164"/>
        <v>0</v>
      </c>
      <c r="S152" s="44">
        <f t="shared" si="165"/>
        <v>546.61663329963699</v>
      </c>
      <c r="T152" s="35">
        <f t="shared" si="166"/>
        <v>2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296.50076984909435</v>
      </c>
      <c r="V152" s="57">
        <v>0</v>
      </c>
      <c r="W152" s="57">
        <v>0</v>
      </c>
      <c r="X152" s="61">
        <f t="shared" si="157"/>
        <v>2</v>
      </c>
      <c r="Y152" s="40">
        <f t="shared" si="167"/>
        <v>0</v>
      </c>
      <c r="Z152" s="40">
        <f t="shared" si="168"/>
        <v>0</v>
      </c>
      <c r="AA152" s="44">
        <f t="shared" si="169"/>
        <v>593.00153969818871</v>
      </c>
      <c r="AB152" s="35">
        <f t="shared" si="170"/>
        <v>2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321.36061051246406</v>
      </c>
      <c r="AD152" s="57">
        <v>0</v>
      </c>
      <c r="AE152" s="57">
        <v>0</v>
      </c>
      <c r="AF152" s="61">
        <f t="shared" si="158"/>
        <v>2</v>
      </c>
      <c r="AG152" s="40">
        <f t="shared" si="171"/>
        <v>0</v>
      </c>
      <c r="AH152" s="40">
        <f t="shared" si="172"/>
        <v>0</v>
      </c>
      <c r="AI152" s="44">
        <f t="shared" si="173"/>
        <v>642.72122102492813</v>
      </c>
      <c r="AJ152" s="35">
        <f t="shared" si="159"/>
        <v>2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347.65301630136923</v>
      </c>
      <c r="AL152" s="57">
        <v>0</v>
      </c>
      <c r="AM152" s="57">
        <v>0</v>
      </c>
      <c r="AN152" s="61">
        <f t="shared" si="160"/>
        <v>2</v>
      </c>
      <c r="AO152" s="40">
        <f t="shared" si="174"/>
        <v>0</v>
      </c>
      <c r="AP152" s="40">
        <f t="shared" si="175"/>
        <v>0</v>
      </c>
      <c r="AQ152" s="44">
        <f t="shared" si="176"/>
        <v>695.30603260273847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0</v>
      </c>
      <c r="G153" s="35">
        <f>SUMIFS(WORKING!$AC$3:$AC$6802,WORKING!$A$3:$A$6802,Results!$D$3,WORKING!$B$3:$B$6802,Results!A153,WORKING!$C$3:$C$6802,Results!C153)/1000</f>
        <v>0</v>
      </c>
      <c r="H153" s="35">
        <f t="shared" si="161"/>
        <v>0</v>
      </c>
      <c r="I153" s="187" t="s">
        <v>754</v>
      </c>
      <c r="J153" s="212" t="s">
        <v>754</v>
      </c>
      <c r="K153" s="217" t="str">
        <f t="shared" si="162"/>
        <v/>
      </c>
      <c r="L153" s="34">
        <f t="shared" si="155"/>
        <v>0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0</v>
      </c>
      <c r="N153" s="57">
        <v>0</v>
      </c>
      <c r="O153" s="57">
        <v>0</v>
      </c>
      <c r="P153" s="61">
        <f t="shared" si="156"/>
        <v>0</v>
      </c>
      <c r="Q153" s="40">
        <f t="shared" si="163"/>
        <v>0</v>
      </c>
      <c r="R153" s="40">
        <f t="shared" si="164"/>
        <v>0</v>
      </c>
      <c r="S153" s="44">
        <f t="shared" si="165"/>
        <v>0</v>
      </c>
      <c r="T153" s="35">
        <f t="shared" si="166"/>
        <v>0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0</v>
      </c>
      <c r="V153" s="57">
        <v>0</v>
      </c>
      <c r="W153" s="57">
        <v>0</v>
      </c>
      <c r="X153" s="61">
        <f t="shared" si="157"/>
        <v>0</v>
      </c>
      <c r="Y153" s="40">
        <f t="shared" si="167"/>
        <v>0</v>
      </c>
      <c r="Z153" s="40">
        <f t="shared" si="168"/>
        <v>0</v>
      </c>
      <c r="AA153" s="44">
        <f t="shared" si="169"/>
        <v>0</v>
      </c>
      <c r="AB153" s="35">
        <f t="shared" si="170"/>
        <v>0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0</v>
      </c>
      <c r="AD153" s="57">
        <v>0</v>
      </c>
      <c r="AE153" s="57">
        <v>0</v>
      </c>
      <c r="AF153" s="61">
        <f t="shared" si="158"/>
        <v>0</v>
      </c>
      <c r="AG153" s="40">
        <f t="shared" si="171"/>
        <v>0</v>
      </c>
      <c r="AH153" s="40">
        <f t="shared" si="172"/>
        <v>0</v>
      </c>
      <c r="AI153" s="44">
        <f t="shared" si="173"/>
        <v>0</v>
      </c>
      <c r="AJ153" s="35">
        <f t="shared" si="159"/>
        <v>0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0</v>
      </c>
      <c r="AL153" s="57">
        <v>0</v>
      </c>
      <c r="AM153" s="57">
        <v>0</v>
      </c>
      <c r="AN153" s="61">
        <f t="shared" si="160"/>
        <v>0</v>
      </c>
      <c r="AO153" s="40">
        <f t="shared" si="174"/>
        <v>0</v>
      </c>
      <c r="AP153" s="40">
        <f t="shared" si="175"/>
        <v>0</v>
      </c>
      <c r="AQ153" s="44">
        <f t="shared" si="176"/>
        <v>0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8</v>
      </c>
      <c r="G154" s="35">
        <f>SUMIFS(WORKING!$AC$3:$AC$6802,WORKING!$A$3:$A$6802,Results!$D$3,WORKING!$B$3:$B$6802,Results!A154,WORKING!$C$3:$C$6802,Results!C154)/1000</f>
        <v>2079.0786600000001</v>
      </c>
      <c r="H154" s="35">
        <f t="shared" si="161"/>
        <v>259.88483250000002</v>
      </c>
      <c r="I154" s="187">
        <v>8</v>
      </c>
      <c r="J154" s="212" t="s">
        <v>754</v>
      </c>
      <c r="K154" s="217">
        <f t="shared" si="162"/>
        <v>259.88483250000002</v>
      </c>
      <c r="L154" s="34">
        <f t="shared" si="155"/>
        <v>8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282.67534939419545</v>
      </c>
      <c r="N154" s="57">
        <v>0</v>
      </c>
      <c r="O154" s="57">
        <v>0</v>
      </c>
      <c r="P154" s="61">
        <f t="shared" si="156"/>
        <v>8</v>
      </c>
      <c r="Q154" s="40">
        <f t="shared" si="163"/>
        <v>0</v>
      </c>
      <c r="R154" s="40">
        <f t="shared" si="164"/>
        <v>0</v>
      </c>
      <c r="S154" s="44">
        <f t="shared" si="165"/>
        <v>2261.4027951535636</v>
      </c>
      <c r="T154" s="35">
        <f t="shared" si="166"/>
        <v>8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306.64069233492722</v>
      </c>
      <c r="V154" s="57">
        <v>0</v>
      </c>
      <c r="W154" s="57">
        <v>0</v>
      </c>
      <c r="X154" s="61">
        <f t="shared" si="157"/>
        <v>8</v>
      </c>
      <c r="Y154" s="40">
        <f t="shared" si="167"/>
        <v>0</v>
      </c>
      <c r="Z154" s="40">
        <f t="shared" si="168"/>
        <v>0</v>
      </c>
      <c r="AA154" s="44">
        <f t="shared" si="169"/>
        <v>2453.1255386794178</v>
      </c>
      <c r="AB154" s="35">
        <f t="shared" si="170"/>
        <v>8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332.32706837844694</v>
      </c>
      <c r="AD154" s="57">
        <v>0</v>
      </c>
      <c r="AE154" s="57">
        <v>0</v>
      </c>
      <c r="AF154" s="61">
        <f t="shared" si="158"/>
        <v>8</v>
      </c>
      <c r="AG154" s="40">
        <f t="shared" si="171"/>
        <v>0</v>
      </c>
      <c r="AH154" s="40">
        <f t="shared" si="172"/>
        <v>0</v>
      </c>
      <c r="AI154" s="44">
        <f t="shared" si="173"/>
        <v>2658.6165470275755</v>
      </c>
      <c r="AJ154" s="35">
        <f t="shared" si="159"/>
        <v>8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359.49153389022308</v>
      </c>
      <c r="AL154" s="57">
        <v>0</v>
      </c>
      <c r="AM154" s="57">
        <v>0</v>
      </c>
      <c r="AN154" s="61">
        <f t="shared" si="160"/>
        <v>8</v>
      </c>
      <c r="AO154" s="40">
        <f t="shared" si="174"/>
        <v>0</v>
      </c>
      <c r="AP154" s="40">
        <f t="shared" si="175"/>
        <v>0</v>
      </c>
      <c r="AQ154" s="44">
        <f t="shared" si="176"/>
        <v>2875.9322711217847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2</v>
      </c>
      <c r="G155" s="35">
        <f>SUMIFS(WORKING!$AC$3:$AC$6802,WORKING!$A$3:$A$6802,Results!$D$3,WORKING!$B$3:$B$6802,Results!A155,WORKING!$C$3:$C$6802,Results!C155)/1000</f>
        <v>693.4841600000002</v>
      </c>
      <c r="H155" s="35">
        <f t="shared" si="161"/>
        <v>346.7420800000001</v>
      </c>
      <c r="I155" s="187">
        <v>2</v>
      </c>
      <c r="J155" s="212" t="s">
        <v>754</v>
      </c>
      <c r="K155" s="217">
        <f t="shared" si="162"/>
        <v>346.7420800000001</v>
      </c>
      <c r="L155" s="34">
        <f t="shared" si="155"/>
        <v>2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377.38938153193095</v>
      </c>
      <c r="N155" s="57">
        <v>0</v>
      </c>
      <c r="O155" s="57">
        <v>0</v>
      </c>
      <c r="P155" s="61">
        <f t="shared" si="156"/>
        <v>2</v>
      </c>
      <c r="Q155" s="40">
        <f t="shared" si="163"/>
        <v>0</v>
      </c>
      <c r="R155" s="40">
        <f t="shared" si="164"/>
        <v>0</v>
      </c>
      <c r="S155" s="44">
        <f t="shared" si="165"/>
        <v>754.7787630638619</v>
      </c>
      <c r="T155" s="35">
        <f t="shared" si="166"/>
        <v>2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409.45759427356649</v>
      </c>
      <c r="V155" s="57">
        <v>0</v>
      </c>
      <c r="W155" s="57">
        <v>0</v>
      </c>
      <c r="X155" s="61">
        <f t="shared" si="157"/>
        <v>2</v>
      </c>
      <c r="Y155" s="40">
        <f t="shared" si="167"/>
        <v>0</v>
      </c>
      <c r="Z155" s="40">
        <f t="shared" si="168"/>
        <v>0</v>
      </c>
      <c r="AA155" s="44">
        <f t="shared" si="169"/>
        <v>818.91518854713297</v>
      </c>
      <c r="AB155" s="35">
        <f t="shared" si="170"/>
        <v>2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443.83579344177411</v>
      </c>
      <c r="AD155" s="57">
        <v>0</v>
      </c>
      <c r="AE155" s="57">
        <v>0</v>
      </c>
      <c r="AF155" s="61">
        <f t="shared" si="158"/>
        <v>2</v>
      </c>
      <c r="AG155" s="40">
        <f t="shared" si="171"/>
        <v>0</v>
      </c>
      <c r="AH155" s="40">
        <f t="shared" si="172"/>
        <v>0</v>
      </c>
      <c r="AI155" s="44">
        <f t="shared" si="173"/>
        <v>887.67158688354823</v>
      </c>
      <c r="AJ155" s="35">
        <f t="shared" si="159"/>
        <v>2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480.20077216182483</v>
      </c>
      <c r="AL155" s="57">
        <v>0</v>
      </c>
      <c r="AM155" s="57">
        <v>0</v>
      </c>
      <c r="AN155" s="61">
        <f t="shared" si="160"/>
        <v>2</v>
      </c>
      <c r="AO155" s="40">
        <f t="shared" si="174"/>
        <v>0</v>
      </c>
      <c r="AP155" s="40">
        <f t="shared" si="175"/>
        <v>0</v>
      </c>
      <c r="AQ155" s="44">
        <f t="shared" si="176"/>
        <v>960.40154432364966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19</v>
      </c>
      <c r="G156" s="35">
        <f>SUMIFS(WORKING!$AC$3:$AC$6802,WORKING!$A$3:$A$6802,Results!$D$3,WORKING!$B$3:$B$6802,Results!A156,WORKING!$C$3:$C$6802,Results!C156)/1000</f>
        <v>7468.5545899999997</v>
      </c>
      <c r="H156" s="35">
        <f t="shared" si="161"/>
        <v>393.08182052631577</v>
      </c>
      <c r="I156" s="187">
        <v>19</v>
      </c>
      <c r="J156" s="212" t="s">
        <v>754</v>
      </c>
      <c r="K156" s="217">
        <f t="shared" si="162"/>
        <v>393.08182052631577</v>
      </c>
      <c r="L156" s="34">
        <f t="shared" si="155"/>
        <v>19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428.2918487732137</v>
      </c>
      <c r="N156" s="57">
        <v>0</v>
      </c>
      <c r="O156" s="57">
        <v>0</v>
      </c>
      <c r="P156" s="61">
        <f t="shared" si="156"/>
        <v>19</v>
      </c>
      <c r="Q156" s="40">
        <f t="shared" si="163"/>
        <v>0</v>
      </c>
      <c r="R156" s="40">
        <f t="shared" si="164"/>
        <v>0</v>
      </c>
      <c r="S156" s="44">
        <f t="shared" si="165"/>
        <v>8137.5451266910604</v>
      </c>
      <c r="T156" s="35">
        <f t="shared" si="166"/>
        <v>19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464.83251508730478</v>
      </c>
      <c r="V156" s="57">
        <v>0</v>
      </c>
      <c r="W156" s="57">
        <v>0</v>
      </c>
      <c r="X156" s="61">
        <f t="shared" si="157"/>
        <v>19</v>
      </c>
      <c r="Y156" s="40">
        <f t="shared" si="167"/>
        <v>0</v>
      </c>
      <c r="Z156" s="40">
        <f t="shared" si="168"/>
        <v>0</v>
      </c>
      <c r="AA156" s="44">
        <f t="shared" si="169"/>
        <v>8831.8177866587903</v>
      </c>
      <c r="AB156" s="35">
        <f t="shared" si="170"/>
        <v>19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504.01934758982827</v>
      </c>
      <c r="AD156" s="57">
        <v>0</v>
      </c>
      <c r="AE156" s="57">
        <v>0</v>
      </c>
      <c r="AF156" s="61">
        <f t="shared" si="158"/>
        <v>19</v>
      </c>
      <c r="AG156" s="40">
        <f t="shared" si="171"/>
        <v>0</v>
      </c>
      <c r="AH156" s="40">
        <f t="shared" si="172"/>
        <v>0</v>
      </c>
      <c r="AI156" s="44">
        <f t="shared" si="173"/>
        <v>9576.3676042067364</v>
      </c>
      <c r="AJ156" s="35">
        <f t="shared" si="159"/>
        <v>19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545.48751141210369</v>
      </c>
      <c r="AL156" s="57">
        <v>0</v>
      </c>
      <c r="AM156" s="57">
        <v>0</v>
      </c>
      <c r="AN156" s="61">
        <f t="shared" si="160"/>
        <v>19</v>
      </c>
      <c r="AO156" s="40">
        <f t="shared" si="174"/>
        <v>0</v>
      </c>
      <c r="AP156" s="40">
        <f t="shared" si="175"/>
        <v>0</v>
      </c>
      <c r="AQ156" s="44">
        <f t="shared" si="176"/>
        <v>10364.26271682997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11</v>
      </c>
      <c r="G157" s="35">
        <f>SUMIFS(WORKING!$AC$3:$AC$6802,WORKING!$A$3:$A$6802,Results!$D$3,WORKING!$B$3:$B$6802,Results!A157,WORKING!$C$3:$C$6802,Results!C157)/1000</f>
        <v>5765.0194299999994</v>
      </c>
      <c r="H157" s="35">
        <f t="shared" si="161"/>
        <v>524.09267545454543</v>
      </c>
      <c r="I157" s="187">
        <v>11</v>
      </c>
      <c r="J157" s="212" t="s">
        <v>754</v>
      </c>
      <c r="K157" s="217">
        <f t="shared" si="162"/>
        <v>524.09267545454543</v>
      </c>
      <c r="L157" s="34">
        <f t="shared" si="155"/>
        <v>11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571.23398463108856</v>
      </c>
      <c r="N157" s="57">
        <v>0</v>
      </c>
      <c r="O157" s="57">
        <v>0</v>
      </c>
      <c r="P157" s="61">
        <f t="shared" si="156"/>
        <v>11</v>
      </c>
      <c r="Q157" s="40">
        <f t="shared" si="163"/>
        <v>0</v>
      </c>
      <c r="R157" s="40">
        <f t="shared" si="164"/>
        <v>0</v>
      </c>
      <c r="S157" s="44">
        <f t="shared" si="165"/>
        <v>6283.5738309419739</v>
      </c>
      <c r="T157" s="35">
        <f t="shared" si="166"/>
        <v>11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620.02872423863755</v>
      </c>
      <c r="V157" s="57">
        <v>0</v>
      </c>
      <c r="W157" s="57">
        <v>0</v>
      </c>
      <c r="X157" s="61">
        <f t="shared" si="157"/>
        <v>11</v>
      </c>
      <c r="Y157" s="40">
        <f t="shared" si="167"/>
        <v>0</v>
      </c>
      <c r="Z157" s="40">
        <f t="shared" si="168"/>
        <v>0</v>
      </c>
      <c r="AA157" s="44">
        <f t="shared" si="169"/>
        <v>6820.3159666250131</v>
      </c>
      <c r="AB157" s="35">
        <f t="shared" si="170"/>
        <v>11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672.36279090758569</v>
      </c>
      <c r="AD157" s="57">
        <v>0</v>
      </c>
      <c r="AE157" s="57">
        <v>0</v>
      </c>
      <c r="AF157" s="61">
        <f t="shared" si="158"/>
        <v>11</v>
      </c>
      <c r="AG157" s="40">
        <f t="shared" si="171"/>
        <v>0</v>
      </c>
      <c r="AH157" s="40">
        <f t="shared" si="172"/>
        <v>0</v>
      </c>
      <c r="AI157" s="44">
        <f t="shared" si="173"/>
        <v>7395.9906999834429</v>
      </c>
      <c r="AJ157" s="35">
        <f t="shared" si="159"/>
        <v>11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727.75059827124483</v>
      </c>
      <c r="AL157" s="57">
        <v>0</v>
      </c>
      <c r="AM157" s="57">
        <v>0</v>
      </c>
      <c r="AN157" s="61">
        <f t="shared" si="160"/>
        <v>11</v>
      </c>
      <c r="AO157" s="40">
        <f t="shared" si="174"/>
        <v>0</v>
      </c>
      <c r="AP157" s="40">
        <f t="shared" si="175"/>
        <v>0</v>
      </c>
      <c r="AQ157" s="44">
        <f t="shared" si="176"/>
        <v>8005.2565809836933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14</v>
      </c>
      <c r="G158" s="35">
        <f>SUMIFS(WORKING!$AC$3:$AC$6802,WORKING!$A$3:$A$6802,Results!$D$3,WORKING!$B$3:$B$6802,Results!A158,WORKING!$C$3:$C$6802,Results!C158)/1000</f>
        <v>8726.6969100000006</v>
      </c>
      <c r="H158" s="35">
        <f t="shared" si="161"/>
        <v>623.33549357142863</v>
      </c>
      <c r="I158" s="187">
        <v>13</v>
      </c>
      <c r="J158" s="212" t="s">
        <v>754</v>
      </c>
      <c r="K158" s="217">
        <f t="shared" si="162"/>
        <v>671.28437769230777</v>
      </c>
      <c r="L158" s="34">
        <f t="shared" si="155"/>
        <v>13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732.54646780103087</v>
      </c>
      <c r="N158" s="57">
        <v>0</v>
      </c>
      <c r="O158" s="57">
        <v>0</v>
      </c>
      <c r="P158" s="61">
        <f t="shared" si="156"/>
        <v>13</v>
      </c>
      <c r="Q158" s="40">
        <f t="shared" si="163"/>
        <v>0</v>
      </c>
      <c r="R158" s="40">
        <f t="shared" si="164"/>
        <v>0</v>
      </c>
      <c r="S158" s="44">
        <f t="shared" si="165"/>
        <v>9523.1040814134012</v>
      </c>
      <c r="T158" s="35">
        <f t="shared" si="166"/>
        <v>13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794.94178064825724</v>
      </c>
      <c r="V158" s="57">
        <v>0</v>
      </c>
      <c r="W158" s="57">
        <v>0</v>
      </c>
      <c r="X158" s="61">
        <f t="shared" si="157"/>
        <v>13</v>
      </c>
      <c r="Y158" s="40">
        <f t="shared" si="167"/>
        <v>0</v>
      </c>
      <c r="Z158" s="40">
        <f t="shared" si="168"/>
        <v>0</v>
      </c>
      <c r="AA158" s="44">
        <f t="shared" si="169"/>
        <v>10334.243148427344</v>
      </c>
      <c r="AB158" s="35">
        <f t="shared" si="170"/>
        <v>13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861.84545460303798</v>
      </c>
      <c r="AD158" s="57">
        <v>0</v>
      </c>
      <c r="AE158" s="57">
        <v>0</v>
      </c>
      <c r="AF158" s="61">
        <f t="shared" si="158"/>
        <v>13</v>
      </c>
      <c r="AG158" s="40">
        <f t="shared" si="171"/>
        <v>0</v>
      </c>
      <c r="AH158" s="40">
        <f t="shared" si="172"/>
        <v>0</v>
      </c>
      <c r="AI158" s="44">
        <f t="shared" si="173"/>
        <v>11203.990909839493</v>
      </c>
      <c r="AJ158" s="35">
        <f t="shared" si="159"/>
        <v>13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932.63171919013348</v>
      </c>
      <c r="AL158" s="57">
        <v>0</v>
      </c>
      <c r="AM158" s="57">
        <v>0</v>
      </c>
      <c r="AN158" s="61">
        <f t="shared" si="160"/>
        <v>13</v>
      </c>
      <c r="AO158" s="40">
        <f t="shared" si="174"/>
        <v>0</v>
      </c>
      <c r="AP158" s="40">
        <f t="shared" si="175"/>
        <v>0</v>
      </c>
      <c r="AQ158" s="44">
        <f t="shared" si="176"/>
        <v>12124.212349471734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7</v>
      </c>
      <c r="G159" s="35">
        <f>SUMIFS(WORKING!$AC$3:$AC$6802,WORKING!$A$3:$A$6802,Results!$D$3,WORKING!$B$3:$B$6802,Results!A159,WORKING!$C$3:$C$6802,Results!C159)/1000</f>
        <v>5023.6383399999995</v>
      </c>
      <c r="H159" s="35">
        <f t="shared" si="161"/>
        <v>717.66261999999995</v>
      </c>
      <c r="I159" s="187">
        <v>7</v>
      </c>
      <c r="J159" s="212" t="s">
        <v>754</v>
      </c>
      <c r="K159" s="217">
        <f t="shared" si="162"/>
        <v>717.66261999999995</v>
      </c>
      <c r="L159" s="34">
        <f t="shared" si="155"/>
        <v>7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783.22177063185723</v>
      </c>
      <c r="N159" s="57">
        <v>0</v>
      </c>
      <c r="O159" s="57">
        <v>0</v>
      </c>
      <c r="P159" s="61">
        <f t="shared" si="156"/>
        <v>7</v>
      </c>
      <c r="Q159" s="40">
        <f t="shared" si="163"/>
        <v>0</v>
      </c>
      <c r="R159" s="40">
        <f t="shared" si="164"/>
        <v>0</v>
      </c>
      <c r="S159" s="44">
        <f t="shared" si="165"/>
        <v>5482.5523944230008</v>
      </c>
      <c r="T159" s="35">
        <f t="shared" si="166"/>
        <v>7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850.00343649573949</v>
      </c>
      <c r="V159" s="57">
        <v>0</v>
      </c>
      <c r="W159" s="57">
        <v>0</v>
      </c>
      <c r="X159" s="61">
        <f t="shared" si="157"/>
        <v>7</v>
      </c>
      <c r="Y159" s="40">
        <f t="shared" si="167"/>
        <v>0</v>
      </c>
      <c r="Z159" s="40">
        <f t="shared" si="168"/>
        <v>0</v>
      </c>
      <c r="AA159" s="44">
        <f t="shared" si="169"/>
        <v>5950.0240554701768</v>
      </c>
      <c r="AB159" s="35">
        <f t="shared" si="170"/>
        <v>7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921.6171332514316</v>
      </c>
      <c r="AD159" s="57">
        <v>0</v>
      </c>
      <c r="AE159" s="57">
        <v>0</v>
      </c>
      <c r="AF159" s="61">
        <f t="shared" si="158"/>
        <v>7</v>
      </c>
      <c r="AG159" s="40">
        <f t="shared" si="171"/>
        <v>0</v>
      </c>
      <c r="AH159" s="40">
        <f t="shared" si="172"/>
        <v>0</v>
      </c>
      <c r="AI159" s="44">
        <f t="shared" si="173"/>
        <v>6451.3199327600214</v>
      </c>
      <c r="AJ159" s="35">
        <f t="shared" si="159"/>
        <v>7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997.3948293174559</v>
      </c>
      <c r="AL159" s="57">
        <v>0</v>
      </c>
      <c r="AM159" s="57">
        <v>0</v>
      </c>
      <c r="AN159" s="61">
        <f t="shared" si="160"/>
        <v>7</v>
      </c>
      <c r="AO159" s="40">
        <f t="shared" si="174"/>
        <v>0</v>
      </c>
      <c r="AP159" s="40">
        <f t="shared" si="175"/>
        <v>0</v>
      </c>
      <c r="AQ159" s="44">
        <f t="shared" si="176"/>
        <v>6981.763805222191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8</v>
      </c>
      <c r="G160" s="35">
        <f>SUMIFS(WORKING!$AC$3:$AC$6802,WORKING!$A$3:$A$6802,Results!$D$3,WORKING!$B$3:$B$6802,Results!A160,WORKING!$C$3:$C$6802,Results!C160)/1000</f>
        <v>7115.4414999999999</v>
      </c>
      <c r="H160" s="35">
        <f t="shared" si="161"/>
        <v>889.43018749999999</v>
      </c>
      <c r="I160" s="187">
        <v>7</v>
      </c>
      <c r="J160" s="212" t="s">
        <v>754</v>
      </c>
      <c r="K160" s="217">
        <f t="shared" si="162"/>
        <v>1016.4916428571429</v>
      </c>
      <c r="L160" s="34">
        <f t="shared" si="155"/>
        <v>7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1065.2331073596572</v>
      </c>
      <c r="N160" s="57">
        <v>0</v>
      </c>
      <c r="O160" s="57">
        <v>0</v>
      </c>
      <c r="P160" s="61">
        <f t="shared" si="156"/>
        <v>7</v>
      </c>
      <c r="Q160" s="40">
        <f t="shared" si="163"/>
        <v>0</v>
      </c>
      <c r="R160" s="40">
        <f t="shared" si="164"/>
        <v>0</v>
      </c>
      <c r="S160" s="44">
        <f t="shared" si="165"/>
        <v>7456.6317515176006</v>
      </c>
      <c r="T160" s="35">
        <f t="shared" si="166"/>
        <v>7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1145.4893162370395</v>
      </c>
      <c r="V160" s="57">
        <v>0</v>
      </c>
      <c r="W160" s="57">
        <v>0</v>
      </c>
      <c r="X160" s="61">
        <f t="shared" si="157"/>
        <v>7</v>
      </c>
      <c r="Y160" s="40">
        <f t="shared" si="167"/>
        <v>0</v>
      </c>
      <c r="Z160" s="40">
        <f t="shared" si="168"/>
        <v>0</v>
      </c>
      <c r="AA160" s="44">
        <f t="shared" si="169"/>
        <v>8018.4252136592768</v>
      </c>
      <c r="AB160" s="35">
        <f t="shared" si="170"/>
        <v>7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1230.6300763512245</v>
      </c>
      <c r="AD160" s="57">
        <v>0</v>
      </c>
      <c r="AE160" s="57">
        <v>0</v>
      </c>
      <c r="AF160" s="61">
        <f t="shared" si="158"/>
        <v>7</v>
      </c>
      <c r="AG160" s="40">
        <f t="shared" si="171"/>
        <v>0</v>
      </c>
      <c r="AH160" s="40">
        <f t="shared" si="172"/>
        <v>0</v>
      </c>
      <c r="AI160" s="44">
        <f t="shared" si="173"/>
        <v>8614.4105344585714</v>
      </c>
      <c r="AJ160" s="35">
        <f t="shared" si="159"/>
        <v>7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1319.6022097989876</v>
      </c>
      <c r="AL160" s="57">
        <v>0</v>
      </c>
      <c r="AM160" s="57">
        <v>0</v>
      </c>
      <c r="AN160" s="61">
        <f t="shared" si="160"/>
        <v>7</v>
      </c>
      <c r="AO160" s="40">
        <f t="shared" si="174"/>
        <v>0</v>
      </c>
      <c r="AP160" s="40">
        <f t="shared" si="175"/>
        <v>0</v>
      </c>
      <c r="AQ160" s="44">
        <f t="shared" si="176"/>
        <v>9237.2154685929127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3</v>
      </c>
      <c r="G161" s="35">
        <f>SUMIFS(WORKING!$AC$3:$AC$6802,WORKING!$A$3:$A$6802,Results!$D$3,WORKING!$B$3:$B$6802,Results!A161,WORKING!$C$3:$C$6802,Results!C161)/1000</f>
        <v>2898.9780799999999</v>
      </c>
      <c r="H161" s="35">
        <f t="shared" si="161"/>
        <v>966.32602666666662</v>
      </c>
      <c r="I161" s="187">
        <v>3</v>
      </c>
      <c r="J161" s="212" t="s">
        <v>754</v>
      </c>
      <c r="K161" s="217">
        <f t="shared" si="162"/>
        <v>966.32602666666662</v>
      </c>
      <c r="L161" s="34">
        <f t="shared" si="155"/>
        <v>3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1012.8474544494165</v>
      </c>
      <c r="N161" s="57">
        <v>0</v>
      </c>
      <c r="O161" s="57">
        <v>0</v>
      </c>
      <c r="P161" s="61">
        <f t="shared" si="156"/>
        <v>3</v>
      </c>
      <c r="Q161" s="40">
        <f t="shared" si="163"/>
        <v>0</v>
      </c>
      <c r="R161" s="40">
        <f t="shared" si="164"/>
        <v>0</v>
      </c>
      <c r="S161" s="44">
        <f t="shared" si="165"/>
        <v>3038.5423633482496</v>
      </c>
      <c r="T161" s="35">
        <f t="shared" si="166"/>
        <v>3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1089.356298552749</v>
      </c>
      <c r="V161" s="57">
        <v>0</v>
      </c>
      <c r="W161" s="57">
        <v>0</v>
      </c>
      <c r="X161" s="61">
        <f t="shared" si="157"/>
        <v>3</v>
      </c>
      <c r="Y161" s="40">
        <f t="shared" si="167"/>
        <v>0</v>
      </c>
      <c r="Z161" s="40">
        <f t="shared" si="168"/>
        <v>0</v>
      </c>
      <c r="AA161" s="44">
        <f t="shared" si="169"/>
        <v>3268.0688956582471</v>
      </c>
      <c r="AB161" s="35">
        <f t="shared" si="170"/>
        <v>3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1170.5391709083667</v>
      </c>
      <c r="AD161" s="57">
        <v>0</v>
      </c>
      <c r="AE161" s="57">
        <v>0</v>
      </c>
      <c r="AF161" s="61">
        <f t="shared" si="158"/>
        <v>3</v>
      </c>
      <c r="AG161" s="40">
        <f t="shared" si="171"/>
        <v>0</v>
      </c>
      <c r="AH161" s="40">
        <f t="shared" si="172"/>
        <v>0</v>
      </c>
      <c r="AI161" s="44">
        <f t="shared" si="173"/>
        <v>3511.6175127250999</v>
      </c>
      <c r="AJ161" s="35">
        <f t="shared" si="159"/>
        <v>3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1255.3966962311572</v>
      </c>
      <c r="AL161" s="57">
        <v>0</v>
      </c>
      <c r="AM161" s="57">
        <v>0</v>
      </c>
      <c r="AN161" s="61">
        <f t="shared" si="160"/>
        <v>3</v>
      </c>
      <c r="AO161" s="40">
        <f t="shared" si="174"/>
        <v>0</v>
      </c>
      <c r="AP161" s="40">
        <f t="shared" si="175"/>
        <v>0</v>
      </c>
      <c r="AQ161" s="44">
        <f t="shared" si="176"/>
        <v>3766.1900886934718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 t="s">
        <v>754</v>
      </c>
      <c r="J162" s="212" t="s">
        <v>754</v>
      </c>
      <c r="K162" s="217" t="str">
        <f t="shared" si="162"/>
        <v/>
      </c>
      <c r="L162" s="34">
        <f t="shared" si="155"/>
        <v>0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0</v>
      </c>
      <c r="N162" s="57">
        <v>0</v>
      </c>
      <c r="O162" s="57">
        <v>0</v>
      </c>
      <c r="P162" s="61">
        <f t="shared" si="156"/>
        <v>0</v>
      </c>
      <c r="Q162" s="40">
        <f t="shared" si="163"/>
        <v>0</v>
      </c>
      <c r="R162" s="40">
        <f t="shared" si="164"/>
        <v>0</v>
      </c>
      <c r="S162" s="44">
        <f t="shared" si="165"/>
        <v>0</v>
      </c>
      <c r="T162" s="35">
        <f t="shared" si="166"/>
        <v>0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0</v>
      </c>
      <c r="V162" s="57">
        <v>0</v>
      </c>
      <c r="W162" s="57">
        <v>0</v>
      </c>
      <c r="X162" s="61">
        <f t="shared" si="157"/>
        <v>0</v>
      </c>
      <c r="Y162" s="40">
        <f t="shared" si="167"/>
        <v>0</v>
      </c>
      <c r="Z162" s="40">
        <f t="shared" si="168"/>
        <v>0</v>
      </c>
      <c r="AA162" s="44">
        <f t="shared" si="169"/>
        <v>0</v>
      </c>
      <c r="AB162" s="35">
        <f t="shared" si="170"/>
        <v>0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0</v>
      </c>
      <c r="AD162" s="57">
        <v>0</v>
      </c>
      <c r="AE162" s="57">
        <v>0</v>
      </c>
      <c r="AF162" s="61">
        <f t="shared" si="158"/>
        <v>0</v>
      </c>
      <c r="AG162" s="40">
        <f t="shared" si="171"/>
        <v>0</v>
      </c>
      <c r="AH162" s="40">
        <f t="shared" si="172"/>
        <v>0</v>
      </c>
      <c r="AI162" s="44">
        <f t="shared" si="173"/>
        <v>0</v>
      </c>
      <c r="AJ162" s="35">
        <f t="shared" si="159"/>
        <v>0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0</v>
      </c>
      <c r="AL162" s="57">
        <v>0</v>
      </c>
      <c r="AM162" s="57">
        <v>0</v>
      </c>
      <c r="AN162" s="61">
        <f t="shared" si="160"/>
        <v>0</v>
      </c>
      <c r="AO162" s="40">
        <f t="shared" si="174"/>
        <v>0</v>
      </c>
      <c r="AP162" s="40">
        <f t="shared" si="175"/>
        <v>0</v>
      </c>
      <c r="AQ162" s="44">
        <f t="shared" si="176"/>
        <v>0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86</v>
      </c>
      <c r="G168" s="41">
        <f>SUM(G148:G167)</f>
        <v>41230.623729999999</v>
      </c>
      <c r="H168" s="41">
        <f>IFERROR(G168/F168,0)</f>
        <v>479.42585732558138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83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41230.623729999999</v>
      </c>
      <c r="K168" s="41">
        <f>IFERROR(J168/I168,"")</f>
        <v>496.75450277108433</v>
      </c>
      <c r="L168" s="41">
        <f>SUM(L148:L167)</f>
        <v>83</v>
      </c>
      <c r="M168" s="41">
        <f>IFERROR(S168/P168,0)</f>
        <v>536.50594049644269</v>
      </c>
      <c r="N168" s="41">
        <f t="shared" ref="N168:T168" si="177">SUM(N148:N167)</f>
        <v>0</v>
      </c>
      <c r="O168" s="41">
        <f t="shared" si="177"/>
        <v>0</v>
      </c>
      <c r="P168" s="41">
        <f t="shared" si="177"/>
        <v>83</v>
      </c>
      <c r="Q168" s="41">
        <f t="shared" si="177"/>
        <v>0</v>
      </c>
      <c r="R168" s="41">
        <f t="shared" si="177"/>
        <v>0</v>
      </c>
      <c r="S168" s="45">
        <f t="shared" si="177"/>
        <v>44529.993061204746</v>
      </c>
      <c r="T168" s="41">
        <f t="shared" si="177"/>
        <v>83</v>
      </c>
      <c r="U168" s="41">
        <f>IFERROR(AA168/X168,0)</f>
        <v>581.00151824913689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83</v>
      </c>
      <c r="Y168" s="41">
        <f t="shared" si="178"/>
        <v>0</v>
      </c>
      <c r="Z168" s="41">
        <f t="shared" si="178"/>
        <v>0</v>
      </c>
      <c r="AA168" s="45">
        <f t="shared" si="178"/>
        <v>48223.126014678361</v>
      </c>
      <c r="AB168" s="41">
        <f t="shared" si="178"/>
        <v>83</v>
      </c>
      <c r="AC168" s="41">
        <f>IFERROR(AI168/AF168,0)</f>
        <v>628.60754216475527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83</v>
      </c>
      <c r="AG168" s="41">
        <f t="shared" si="179"/>
        <v>0</v>
      </c>
      <c r="AH168" s="41">
        <f t="shared" si="179"/>
        <v>0</v>
      </c>
      <c r="AI168" s="45">
        <f t="shared" si="179"/>
        <v>52174.425999674684</v>
      </c>
      <c r="AJ168" s="41">
        <f t="shared" si="179"/>
        <v>83</v>
      </c>
      <c r="AK168" s="41">
        <f>IFERROR(AQ168/AN168,0)</f>
        <v>678.84938773033957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83</v>
      </c>
      <c r="AO168" s="41">
        <f t="shared" si="180"/>
        <v>0</v>
      </c>
      <c r="AP168" s="41">
        <f t="shared" si="180"/>
        <v>0</v>
      </c>
      <c r="AQ168" s="45">
        <f t="shared" si="180"/>
        <v>56344.499181618186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45749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45131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46574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50113.624000000003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1219.0069387952535</v>
      </c>
      <c r="T170" s="39"/>
      <c r="U170" s="39"/>
      <c r="V170" s="53"/>
      <c r="W170" s="53"/>
      <c r="X170" s="110"/>
      <c r="Y170" s="39"/>
      <c r="Z170" s="39"/>
      <c r="AA170" s="54">
        <f>AA169-AA168</f>
        <v>-3092.1260146783607</v>
      </c>
      <c r="AB170" s="39"/>
      <c r="AC170" s="53"/>
      <c r="AD170" s="53"/>
      <c r="AE170" s="110"/>
      <c r="AF170" s="39"/>
      <c r="AG170" s="39"/>
      <c r="AH170" s="39"/>
      <c r="AI170" s="54">
        <f>AI169-AI168</f>
        <v>-5600.4259996746841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-6230.875181618183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Nuclear Energy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0.23809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2</v>
      </c>
      <c r="G177" s="35">
        <f>SUMIFS(WORKING!$AC$3:$AC$6802,WORKING!$A$3:$A$6802,Results!$D$3,WORKING!$B$3:$B$6802,Results!A177,WORKING!$C$3:$C$6802,Results!C177)/1000</f>
        <v>159.28805</v>
      </c>
      <c r="H177" s="35">
        <f t="shared" ref="H177:H195" si="187">IFERROR(G177/F177,0)</f>
        <v>79.644024999999999</v>
      </c>
      <c r="I177" s="187">
        <v>3</v>
      </c>
      <c r="J177" s="212" t="s">
        <v>754</v>
      </c>
      <c r="K177" s="217">
        <f t="shared" ref="K177:K195" si="188">IFERROR(IF(J177="",G177,J177)/IF(I177="",F177,I177),"")</f>
        <v>53.096016666666664</v>
      </c>
      <c r="L177" s="34">
        <f t="shared" si="181"/>
        <v>3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57.988283642333329</v>
      </c>
      <c r="N177" s="57">
        <v>0</v>
      </c>
      <c r="O177" s="57">
        <v>0</v>
      </c>
      <c r="P177" s="61">
        <f t="shared" si="182"/>
        <v>3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173.96485092699999</v>
      </c>
      <c r="T177" s="35">
        <f t="shared" ref="T177:T195" si="192">P177</f>
        <v>3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62.978175449756115</v>
      </c>
      <c r="V177" s="57">
        <v>0</v>
      </c>
      <c r="W177" s="57">
        <v>3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-188.93452634926834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68.333524599126108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74.005548808476561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5</v>
      </c>
      <c r="G182" s="35">
        <f>SUMIFS(WORKING!$AC$3:$AC$6802,WORKING!$A$3:$A$6802,Results!$D$3,WORKING!$B$3:$B$6802,Results!A182,WORKING!$C$3:$C$6802,Results!C182)/1000</f>
        <v>1424.5208199999997</v>
      </c>
      <c r="H182" s="35">
        <f t="shared" si="187"/>
        <v>284.90416399999992</v>
      </c>
      <c r="I182" s="187">
        <v>5</v>
      </c>
      <c r="J182" s="212" t="s">
        <v>754</v>
      </c>
      <c r="K182" s="217">
        <f t="shared" si="188"/>
        <v>284.90416399999992</v>
      </c>
      <c r="L182" s="34">
        <f t="shared" si="181"/>
        <v>5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309.89579549842102</v>
      </c>
      <c r="N182" s="57">
        <v>0</v>
      </c>
      <c r="O182" s="57">
        <v>0</v>
      </c>
      <c r="P182" s="61">
        <f t="shared" si="182"/>
        <v>5</v>
      </c>
      <c r="Q182" s="40">
        <f t="shared" si="189"/>
        <v>0</v>
      </c>
      <c r="R182" s="40">
        <f t="shared" si="190"/>
        <v>0</v>
      </c>
      <c r="S182" s="44">
        <f t="shared" si="191"/>
        <v>1549.4789774921051</v>
      </c>
      <c r="T182" s="35">
        <f t="shared" si="192"/>
        <v>5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336.17069109501887</v>
      </c>
      <c r="V182" s="57">
        <v>0</v>
      </c>
      <c r="W182" s="57">
        <v>0</v>
      </c>
      <c r="X182" s="61">
        <f t="shared" si="183"/>
        <v>5</v>
      </c>
      <c r="Y182" s="40">
        <f t="shared" si="193"/>
        <v>0</v>
      </c>
      <c r="Z182" s="40">
        <f t="shared" si="194"/>
        <v>0</v>
      </c>
      <c r="AA182" s="44">
        <f t="shared" si="195"/>
        <v>1680.8534554750943</v>
      </c>
      <c r="AB182" s="35">
        <f t="shared" si="196"/>
        <v>5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364.33266691753721</v>
      </c>
      <c r="AD182" s="57">
        <v>0</v>
      </c>
      <c r="AE182" s="57">
        <v>0</v>
      </c>
      <c r="AF182" s="61">
        <f t="shared" si="184"/>
        <v>5</v>
      </c>
      <c r="AG182" s="40">
        <f t="shared" si="197"/>
        <v>0</v>
      </c>
      <c r="AH182" s="40">
        <f t="shared" si="198"/>
        <v>0</v>
      </c>
      <c r="AI182" s="44">
        <f t="shared" si="199"/>
        <v>1821.663334587686</v>
      </c>
      <c r="AJ182" s="35">
        <f t="shared" si="185"/>
        <v>5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394.11543586345198</v>
      </c>
      <c r="AL182" s="57">
        <v>0</v>
      </c>
      <c r="AM182" s="57">
        <v>0</v>
      </c>
      <c r="AN182" s="61">
        <f t="shared" si="186"/>
        <v>5</v>
      </c>
      <c r="AO182" s="40">
        <f t="shared" si="200"/>
        <v>0</v>
      </c>
      <c r="AP182" s="40">
        <f t="shared" si="201"/>
        <v>0</v>
      </c>
      <c r="AQ182" s="44">
        <f t="shared" si="202"/>
        <v>1970.5771793172598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1</v>
      </c>
      <c r="G183" s="35">
        <f>SUMIFS(WORKING!$AC$3:$AC$6802,WORKING!$A$3:$A$6802,Results!$D$3,WORKING!$B$3:$B$6802,Results!A183,WORKING!$C$3:$C$6802,Results!C183)/1000</f>
        <v>612.07498999999996</v>
      </c>
      <c r="H183" s="35">
        <f t="shared" si="187"/>
        <v>612.07498999999996</v>
      </c>
      <c r="I183" s="187">
        <v>0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666.36346123101657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723.05624481610948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783.8389050730425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848.14101264966337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1</v>
      </c>
      <c r="G184" s="35">
        <f>SUMIFS(WORKING!$AC$3:$AC$6802,WORKING!$A$3:$A$6802,Results!$D$3,WORKING!$B$3:$B$6802,Results!A184,WORKING!$C$3:$C$6802,Results!C184)/1000</f>
        <v>145.62416000000002</v>
      </c>
      <c r="H184" s="35">
        <f t="shared" si="187"/>
        <v>145.62416000000002</v>
      </c>
      <c r="I184" s="187">
        <v>1</v>
      </c>
      <c r="J184" s="212" t="s">
        <v>754</v>
      </c>
      <c r="K184" s="217">
        <f t="shared" si="188"/>
        <v>145.62416000000002</v>
      </c>
      <c r="L184" s="34">
        <f t="shared" si="181"/>
        <v>1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158.37029108718863</v>
      </c>
      <c r="N184" s="57">
        <v>0</v>
      </c>
      <c r="O184" s="57">
        <v>0</v>
      </c>
      <c r="P184" s="61">
        <f t="shared" si="182"/>
        <v>1</v>
      </c>
      <c r="Q184" s="40">
        <f t="shared" si="189"/>
        <v>0</v>
      </c>
      <c r="R184" s="40">
        <f t="shared" si="190"/>
        <v>0</v>
      </c>
      <c r="S184" s="44">
        <f t="shared" si="191"/>
        <v>158.37029108718863</v>
      </c>
      <c r="T184" s="35">
        <f t="shared" si="192"/>
        <v>1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171.79245293022811</v>
      </c>
      <c r="V184" s="57">
        <v>0</v>
      </c>
      <c r="W184" s="57">
        <v>0</v>
      </c>
      <c r="X184" s="61">
        <f t="shared" si="183"/>
        <v>1</v>
      </c>
      <c r="Y184" s="40">
        <f t="shared" si="193"/>
        <v>0</v>
      </c>
      <c r="Z184" s="40">
        <f t="shared" si="194"/>
        <v>0</v>
      </c>
      <c r="AA184" s="44">
        <f t="shared" si="195"/>
        <v>171.79245293022811</v>
      </c>
      <c r="AB184" s="35">
        <f t="shared" si="196"/>
        <v>1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186.17792527570487</v>
      </c>
      <c r="AD184" s="57">
        <v>0</v>
      </c>
      <c r="AE184" s="57">
        <v>0</v>
      </c>
      <c r="AF184" s="61">
        <f t="shared" si="184"/>
        <v>1</v>
      </c>
      <c r="AG184" s="40">
        <f t="shared" si="197"/>
        <v>0</v>
      </c>
      <c r="AH184" s="40">
        <f t="shared" si="198"/>
        <v>0</v>
      </c>
      <c r="AI184" s="44">
        <f t="shared" si="199"/>
        <v>186.17792527570487</v>
      </c>
      <c r="AJ184" s="35">
        <f t="shared" si="185"/>
        <v>1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201.39033734588631</v>
      </c>
      <c r="AL184" s="57">
        <v>0</v>
      </c>
      <c r="AM184" s="57">
        <v>0</v>
      </c>
      <c r="AN184" s="61">
        <f t="shared" si="186"/>
        <v>1</v>
      </c>
      <c r="AO184" s="40">
        <f t="shared" si="200"/>
        <v>0</v>
      </c>
      <c r="AP184" s="40">
        <f t="shared" si="201"/>
        <v>0</v>
      </c>
      <c r="AQ184" s="44">
        <f t="shared" si="202"/>
        <v>201.39033734588631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3</v>
      </c>
      <c r="G185" s="35">
        <f>SUMIFS(WORKING!$AC$3:$AC$6802,WORKING!$A$3:$A$6802,Results!$D$3,WORKING!$B$3:$B$6802,Results!A185,WORKING!$C$3:$C$6802,Results!C185)/1000</f>
        <v>1207.9313299999999</v>
      </c>
      <c r="H185" s="35">
        <f t="shared" si="187"/>
        <v>402.64377666666661</v>
      </c>
      <c r="I185" s="187">
        <v>5</v>
      </c>
      <c r="J185" s="212" t="s">
        <v>754</v>
      </c>
      <c r="K185" s="217">
        <f t="shared" si="188"/>
        <v>241.58626599999997</v>
      </c>
      <c r="L185" s="34">
        <f t="shared" si="181"/>
        <v>5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263.4206831230091</v>
      </c>
      <c r="N185" s="57">
        <v>0</v>
      </c>
      <c r="O185" s="57">
        <v>0</v>
      </c>
      <c r="P185" s="61">
        <f t="shared" si="182"/>
        <v>5</v>
      </c>
      <c r="Q185" s="40">
        <f t="shared" si="189"/>
        <v>0</v>
      </c>
      <c r="R185" s="40">
        <f t="shared" si="190"/>
        <v>0</v>
      </c>
      <c r="S185" s="44">
        <f t="shared" si="191"/>
        <v>1317.1034156150454</v>
      </c>
      <c r="T185" s="35">
        <f t="shared" si="192"/>
        <v>5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285.95643102325784</v>
      </c>
      <c r="V185" s="57">
        <v>0</v>
      </c>
      <c r="W185" s="57">
        <v>0</v>
      </c>
      <c r="X185" s="61">
        <f t="shared" si="183"/>
        <v>5</v>
      </c>
      <c r="Y185" s="40">
        <f t="shared" si="193"/>
        <v>0</v>
      </c>
      <c r="Z185" s="40">
        <f t="shared" si="194"/>
        <v>0</v>
      </c>
      <c r="AA185" s="44">
        <f t="shared" si="195"/>
        <v>1429.7821551162892</v>
      </c>
      <c r="AB185" s="35">
        <f t="shared" si="196"/>
        <v>5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310.13000312160705</v>
      </c>
      <c r="AD185" s="57">
        <v>0</v>
      </c>
      <c r="AE185" s="57">
        <v>0</v>
      </c>
      <c r="AF185" s="61">
        <f t="shared" si="184"/>
        <v>5</v>
      </c>
      <c r="AG185" s="40">
        <f t="shared" si="197"/>
        <v>0</v>
      </c>
      <c r="AH185" s="40">
        <f t="shared" si="198"/>
        <v>0</v>
      </c>
      <c r="AI185" s="44">
        <f t="shared" si="199"/>
        <v>1550.6500156080351</v>
      </c>
      <c r="AJ185" s="35">
        <f t="shared" si="185"/>
        <v>5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335.71782143786396</v>
      </c>
      <c r="AL185" s="57">
        <v>0</v>
      </c>
      <c r="AM185" s="57">
        <v>0</v>
      </c>
      <c r="AN185" s="61">
        <f t="shared" si="186"/>
        <v>5</v>
      </c>
      <c r="AO185" s="40">
        <f t="shared" si="200"/>
        <v>0</v>
      </c>
      <c r="AP185" s="40">
        <f t="shared" si="201"/>
        <v>0</v>
      </c>
      <c r="AQ185" s="44">
        <f t="shared" si="202"/>
        <v>1678.5891071893197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5</v>
      </c>
      <c r="G186" s="35">
        <f>SUMIFS(WORKING!$AC$3:$AC$6802,WORKING!$A$3:$A$6802,Results!$D$3,WORKING!$B$3:$B$6802,Results!A186,WORKING!$C$3:$C$6802,Results!C186)/1000</f>
        <v>2935.2706699999999</v>
      </c>
      <c r="H186" s="35">
        <f t="shared" si="187"/>
        <v>587.05413399999998</v>
      </c>
      <c r="I186" s="187">
        <v>5</v>
      </c>
      <c r="J186" s="212" t="s">
        <v>754</v>
      </c>
      <c r="K186" s="217">
        <f t="shared" si="188"/>
        <v>587.05413399999998</v>
      </c>
      <c r="L186" s="34">
        <f t="shared" si="181"/>
        <v>5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640.16888365160003</v>
      </c>
      <c r="N186" s="57">
        <v>0</v>
      </c>
      <c r="O186" s="57">
        <v>0</v>
      </c>
      <c r="P186" s="61">
        <f t="shared" si="182"/>
        <v>5</v>
      </c>
      <c r="Q186" s="40">
        <f t="shared" si="189"/>
        <v>0</v>
      </c>
      <c r="R186" s="40">
        <f t="shared" si="190"/>
        <v>0</v>
      </c>
      <c r="S186" s="44">
        <f t="shared" si="191"/>
        <v>3200.8444182580001</v>
      </c>
      <c r="T186" s="35">
        <f t="shared" si="192"/>
        <v>5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694.19659201632237</v>
      </c>
      <c r="V186" s="57">
        <v>0</v>
      </c>
      <c r="W186" s="57">
        <v>0</v>
      </c>
      <c r="X186" s="61">
        <f t="shared" si="183"/>
        <v>5</v>
      </c>
      <c r="Y186" s="40">
        <f t="shared" si="193"/>
        <v>0</v>
      </c>
      <c r="Z186" s="40">
        <f t="shared" si="194"/>
        <v>0</v>
      </c>
      <c r="AA186" s="44">
        <f t="shared" si="195"/>
        <v>3470.982960081612</v>
      </c>
      <c r="AB186" s="35">
        <f t="shared" si="196"/>
        <v>5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752.08048767291962</v>
      </c>
      <c r="AD186" s="57">
        <v>0</v>
      </c>
      <c r="AE186" s="57">
        <v>0</v>
      </c>
      <c r="AF186" s="61">
        <f t="shared" si="184"/>
        <v>5</v>
      </c>
      <c r="AG186" s="40">
        <f t="shared" si="197"/>
        <v>0</v>
      </c>
      <c r="AH186" s="40">
        <f t="shared" si="198"/>
        <v>0</v>
      </c>
      <c r="AI186" s="44">
        <f t="shared" si="199"/>
        <v>3760.4024383645983</v>
      </c>
      <c r="AJ186" s="35">
        <f t="shared" si="185"/>
        <v>5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813.26649298849725</v>
      </c>
      <c r="AL186" s="57">
        <v>0</v>
      </c>
      <c r="AM186" s="57">
        <v>0</v>
      </c>
      <c r="AN186" s="61">
        <f t="shared" si="186"/>
        <v>5</v>
      </c>
      <c r="AO186" s="40">
        <f t="shared" si="200"/>
        <v>0</v>
      </c>
      <c r="AP186" s="40">
        <f t="shared" si="201"/>
        <v>0</v>
      </c>
      <c r="AQ186" s="44">
        <f t="shared" si="202"/>
        <v>4066.3324649424862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5</v>
      </c>
      <c r="G187" s="35">
        <f>SUMIFS(WORKING!$AC$3:$AC$6802,WORKING!$A$3:$A$6802,Results!$D$3,WORKING!$B$3:$B$6802,Results!A187,WORKING!$C$3:$C$6802,Results!C187)/1000</f>
        <v>3538.9702300000004</v>
      </c>
      <c r="H187" s="35">
        <f t="shared" si="187"/>
        <v>707.79404600000009</v>
      </c>
      <c r="I187" s="187">
        <v>5</v>
      </c>
      <c r="J187" s="212" t="s">
        <v>754</v>
      </c>
      <c r="K187" s="217">
        <f t="shared" si="188"/>
        <v>707.79404600000009</v>
      </c>
      <c r="L187" s="34">
        <f t="shared" si="181"/>
        <v>5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772.29032770900017</v>
      </c>
      <c r="N187" s="57">
        <v>0</v>
      </c>
      <c r="O187" s="57">
        <v>0</v>
      </c>
      <c r="P187" s="61">
        <f t="shared" si="182"/>
        <v>5</v>
      </c>
      <c r="Q187" s="40">
        <f t="shared" si="189"/>
        <v>0</v>
      </c>
      <c r="R187" s="40">
        <f t="shared" si="190"/>
        <v>0</v>
      </c>
      <c r="S187" s="44">
        <f t="shared" si="191"/>
        <v>3861.4516385450006</v>
      </c>
      <c r="T187" s="35">
        <f t="shared" si="192"/>
        <v>5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837.96483267308781</v>
      </c>
      <c r="V187" s="57">
        <v>0</v>
      </c>
      <c r="W187" s="57">
        <v>0</v>
      </c>
      <c r="X187" s="61">
        <f t="shared" si="183"/>
        <v>5</v>
      </c>
      <c r="Y187" s="40">
        <f t="shared" si="193"/>
        <v>0</v>
      </c>
      <c r="Z187" s="40">
        <f t="shared" si="194"/>
        <v>0</v>
      </c>
      <c r="AA187" s="44">
        <f t="shared" si="195"/>
        <v>4189.8241633654388</v>
      </c>
      <c r="AB187" s="35">
        <f t="shared" si="196"/>
        <v>5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908.37446476579714</v>
      </c>
      <c r="AD187" s="57">
        <v>0</v>
      </c>
      <c r="AE187" s="57">
        <v>0</v>
      </c>
      <c r="AF187" s="61">
        <f t="shared" si="184"/>
        <v>5</v>
      </c>
      <c r="AG187" s="40">
        <f t="shared" si="197"/>
        <v>0</v>
      </c>
      <c r="AH187" s="40">
        <f t="shared" si="198"/>
        <v>0</v>
      </c>
      <c r="AI187" s="44">
        <f t="shared" si="199"/>
        <v>4541.8723238289858</v>
      </c>
      <c r="AJ187" s="35">
        <f t="shared" si="185"/>
        <v>5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982.85795274849477</v>
      </c>
      <c r="AL187" s="57">
        <v>0</v>
      </c>
      <c r="AM187" s="57">
        <v>0</v>
      </c>
      <c r="AN187" s="61">
        <f t="shared" si="186"/>
        <v>5</v>
      </c>
      <c r="AO187" s="40">
        <f t="shared" si="200"/>
        <v>0</v>
      </c>
      <c r="AP187" s="40">
        <f t="shared" si="201"/>
        <v>0</v>
      </c>
      <c r="AQ187" s="44">
        <f t="shared" si="202"/>
        <v>4914.289763742474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4</v>
      </c>
      <c r="G188" s="35">
        <f>SUMIFS(WORKING!$AC$3:$AC$6802,WORKING!$A$3:$A$6802,Results!$D$3,WORKING!$B$3:$B$6802,Results!A188,WORKING!$C$3:$C$6802,Results!C188)/1000</f>
        <v>3807.12066</v>
      </c>
      <c r="H188" s="35">
        <f t="shared" si="187"/>
        <v>951.78016500000001</v>
      </c>
      <c r="I188" s="187">
        <v>4</v>
      </c>
      <c r="J188" s="212" t="s">
        <v>754</v>
      </c>
      <c r="K188" s="217">
        <f t="shared" si="188"/>
        <v>951.78016500000001</v>
      </c>
      <c r="L188" s="34">
        <f t="shared" si="181"/>
        <v>4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997.41194073146232</v>
      </c>
      <c r="N188" s="57">
        <v>0</v>
      </c>
      <c r="O188" s="57">
        <v>0</v>
      </c>
      <c r="P188" s="61">
        <f t="shared" si="182"/>
        <v>4</v>
      </c>
      <c r="Q188" s="40">
        <f t="shared" si="189"/>
        <v>0</v>
      </c>
      <c r="R188" s="40">
        <f t="shared" si="190"/>
        <v>0</v>
      </c>
      <c r="S188" s="44">
        <f t="shared" si="191"/>
        <v>3989.6477629258493</v>
      </c>
      <c r="T188" s="35">
        <f t="shared" si="192"/>
        <v>4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1072.5511680224699</v>
      </c>
      <c r="V188" s="57">
        <v>0</v>
      </c>
      <c r="W188" s="57">
        <v>0</v>
      </c>
      <c r="X188" s="61">
        <f t="shared" si="183"/>
        <v>4</v>
      </c>
      <c r="Y188" s="40">
        <f t="shared" si="193"/>
        <v>0</v>
      </c>
      <c r="Z188" s="40">
        <f t="shared" si="194"/>
        <v>0</v>
      </c>
      <c r="AA188" s="44">
        <f t="shared" si="195"/>
        <v>4290.2046720898798</v>
      </c>
      <c r="AB188" s="35">
        <f t="shared" si="196"/>
        <v>4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1152.262881706188</v>
      </c>
      <c r="AD188" s="57">
        <v>0</v>
      </c>
      <c r="AE188" s="57">
        <v>0</v>
      </c>
      <c r="AF188" s="61">
        <f t="shared" si="184"/>
        <v>4</v>
      </c>
      <c r="AG188" s="40">
        <f t="shared" si="197"/>
        <v>0</v>
      </c>
      <c r="AH188" s="40">
        <f t="shared" si="198"/>
        <v>0</v>
      </c>
      <c r="AI188" s="44">
        <f t="shared" si="199"/>
        <v>4609.0515268247518</v>
      </c>
      <c r="AJ188" s="35">
        <f t="shared" si="185"/>
        <v>4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1235.5608849156665</v>
      </c>
      <c r="AL188" s="57">
        <v>0</v>
      </c>
      <c r="AM188" s="57">
        <v>0</v>
      </c>
      <c r="AN188" s="61">
        <f t="shared" si="186"/>
        <v>4</v>
      </c>
      <c r="AO188" s="40">
        <f t="shared" si="200"/>
        <v>0</v>
      </c>
      <c r="AP188" s="40">
        <f t="shared" si="201"/>
        <v>0</v>
      </c>
      <c r="AQ188" s="44">
        <f t="shared" si="202"/>
        <v>4942.2435396626661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4</v>
      </c>
      <c r="G189" s="35">
        <f>SUMIFS(WORKING!$AC$3:$AC$6802,WORKING!$A$3:$A$6802,Results!$D$3,WORKING!$B$3:$B$6802,Results!A189,WORKING!$C$3:$C$6802,Results!C189)/1000</f>
        <v>3145.3045499999998</v>
      </c>
      <c r="H189" s="35">
        <f t="shared" si="187"/>
        <v>786.32613749999996</v>
      </c>
      <c r="I189" s="187">
        <v>4</v>
      </c>
      <c r="J189" s="212" t="s">
        <v>754</v>
      </c>
      <c r="K189" s="217">
        <f t="shared" si="188"/>
        <v>786.32613749999996</v>
      </c>
      <c r="L189" s="34">
        <f t="shared" si="181"/>
        <v>4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823.64372292937503</v>
      </c>
      <c r="N189" s="57">
        <v>0</v>
      </c>
      <c r="O189" s="57">
        <v>0</v>
      </c>
      <c r="P189" s="61">
        <f t="shared" si="182"/>
        <v>4</v>
      </c>
      <c r="Q189" s="40">
        <f t="shared" si="189"/>
        <v>0</v>
      </c>
      <c r="R189" s="40">
        <f t="shared" si="190"/>
        <v>0</v>
      </c>
      <c r="S189" s="44">
        <f t="shared" si="191"/>
        <v>3294.5748917175001</v>
      </c>
      <c r="T189" s="35">
        <f t="shared" si="192"/>
        <v>4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885.2819670126712</v>
      </c>
      <c r="V189" s="57">
        <v>0</v>
      </c>
      <c r="W189" s="57">
        <v>0</v>
      </c>
      <c r="X189" s="61">
        <f t="shared" si="183"/>
        <v>4</v>
      </c>
      <c r="Y189" s="40">
        <f t="shared" si="193"/>
        <v>0</v>
      </c>
      <c r="Z189" s="40">
        <f t="shared" si="194"/>
        <v>0</v>
      </c>
      <c r="AA189" s="44">
        <f t="shared" si="195"/>
        <v>3541.1278680506848</v>
      </c>
      <c r="AB189" s="35">
        <f t="shared" si="196"/>
        <v>4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950.63530128889704</v>
      </c>
      <c r="AD189" s="57">
        <v>0</v>
      </c>
      <c r="AE189" s="57">
        <v>0</v>
      </c>
      <c r="AF189" s="61">
        <f t="shared" si="184"/>
        <v>4</v>
      </c>
      <c r="AG189" s="40">
        <f t="shared" si="197"/>
        <v>0</v>
      </c>
      <c r="AH189" s="40">
        <f t="shared" si="198"/>
        <v>0</v>
      </c>
      <c r="AI189" s="44">
        <f t="shared" si="199"/>
        <v>3802.5412051555882</v>
      </c>
      <c r="AJ189" s="35">
        <f t="shared" si="185"/>
        <v>4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1018.8852717096916</v>
      </c>
      <c r="AL189" s="57">
        <v>0</v>
      </c>
      <c r="AM189" s="57">
        <v>0</v>
      </c>
      <c r="AN189" s="61">
        <f t="shared" si="186"/>
        <v>4</v>
      </c>
      <c r="AO189" s="40">
        <f t="shared" si="200"/>
        <v>0</v>
      </c>
      <c r="AP189" s="40">
        <f t="shared" si="201"/>
        <v>0</v>
      </c>
      <c r="AQ189" s="44">
        <f t="shared" si="202"/>
        <v>4075.5410868387662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30</v>
      </c>
      <c r="G196" s="41">
        <f>SUM(G176:G195)</f>
        <v>16976.343550000001</v>
      </c>
      <c r="H196" s="41">
        <f>IFERROR(G196/F196,0)</f>
        <v>565.87811833333342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32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16976.343550000001</v>
      </c>
      <c r="K196" s="41">
        <f>IFERROR(J196/I196,"")</f>
        <v>530.51073593750004</v>
      </c>
      <c r="L196" s="41">
        <f>SUM(L176:L195)</f>
        <v>32</v>
      </c>
      <c r="M196" s="41">
        <f>IFERROR(S196/P196,0)</f>
        <v>548.2948827052403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32</v>
      </c>
      <c r="Q196" s="41">
        <f t="shared" si="203"/>
        <v>0</v>
      </c>
      <c r="R196" s="41">
        <f t="shared" si="203"/>
        <v>0</v>
      </c>
      <c r="S196" s="45">
        <f t="shared" si="203"/>
        <v>17545.43624656769</v>
      </c>
      <c r="T196" s="41">
        <f t="shared" si="203"/>
        <v>32</v>
      </c>
      <c r="U196" s="41">
        <f>IFERROR(AA196/X196,0)</f>
        <v>647.39888714169751</v>
      </c>
      <c r="V196" s="41">
        <f t="shared" ref="V196:AB196" si="204">SUM(V176:V195)</f>
        <v>0</v>
      </c>
      <c r="W196" s="41">
        <f t="shared" si="204"/>
        <v>3</v>
      </c>
      <c r="X196" s="41">
        <f t="shared" si="204"/>
        <v>29</v>
      </c>
      <c r="Y196" s="41">
        <f t="shared" si="204"/>
        <v>0</v>
      </c>
      <c r="Z196" s="41">
        <f t="shared" si="204"/>
        <v>-188.93452634926834</v>
      </c>
      <c r="AA196" s="45">
        <f t="shared" si="204"/>
        <v>18774.567727109228</v>
      </c>
      <c r="AB196" s="41">
        <f t="shared" si="204"/>
        <v>29</v>
      </c>
      <c r="AC196" s="41">
        <f>IFERROR(AI196/AF196,0)</f>
        <v>699.04685412570166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29</v>
      </c>
      <c r="AG196" s="41">
        <f t="shared" si="205"/>
        <v>0</v>
      </c>
      <c r="AH196" s="41">
        <f t="shared" si="205"/>
        <v>0</v>
      </c>
      <c r="AI196" s="45">
        <f t="shared" si="205"/>
        <v>20272.358769645347</v>
      </c>
      <c r="AJ196" s="41">
        <f t="shared" si="205"/>
        <v>29</v>
      </c>
      <c r="AK196" s="41">
        <f>IFERROR(AQ196/AN196,0)</f>
        <v>753.41253375996052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29</v>
      </c>
      <c r="AO196" s="41">
        <f t="shared" si="206"/>
        <v>0</v>
      </c>
      <c r="AP196" s="41">
        <f t="shared" si="206"/>
        <v>0</v>
      </c>
      <c r="AQ196" s="45">
        <f t="shared" si="206"/>
        <v>21848.963479038855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19429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20125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20331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21876.156000000003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1883.5637534323105</v>
      </c>
      <c r="T198" s="39"/>
      <c r="U198" s="39"/>
      <c r="V198" s="53"/>
      <c r="W198" s="53"/>
      <c r="X198" s="110"/>
      <c r="Y198" s="39"/>
      <c r="Z198" s="39"/>
      <c r="AA198" s="54">
        <f>AA197-AA196</f>
        <v>1350.4322728907719</v>
      </c>
      <c r="AB198" s="39"/>
      <c r="AC198" s="53"/>
      <c r="AD198" s="53"/>
      <c r="AE198" s="110"/>
      <c r="AF198" s="39"/>
      <c r="AG198" s="39"/>
      <c r="AH198" s="39"/>
      <c r="AI198" s="54">
        <f>AI197-AI196</f>
        <v>58.641230354653089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27.192520961147238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Clean Energy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34.920380000000002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>
        <v>1</v>
      </c>
      <c r="J208" s="212" t="s">
        <v>754</v>
      </c>
      <c r="K208" s="217">
        <f t="shared" si="214"/>
        <v>0</v>
      </c>
      <c r="L208" s="34">
        <f t="shared" si="207"/>
        <v>1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1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1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1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1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1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1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1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4</v>
      </c>
      <c r="G210" s="35">
        <f>SUMIFS(WORKING!$AC$3:$AC$6802,WORKING!$A$3:$A$6802,Results!$D$3,WORKING!$B$3:$B$6802,Results!A210,WORKING!$C$3:$C$6802,Results!C210)/1000</f>
        <v>1153.21156</v>
      </c>
      <c r="H210" s="35">
        <f t="shared" si="213"/>
        <v>288.30288999999999</v>
      </c>
      <c r="I210" s="187">
        <v>4</v>
      </c>
      <c r="J210" s="212" t="s">
        <v>754</v>
      </c>
      <c r="K210" s="217">
        <f t="shared" si="214"/>
        <v>288.30288999999999</v>
      </c>
      <c r="L210" s="34">
        <f t="shared" si="207"/>
        <v>4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313.95441977383206</v>
      </c>
      <c r="N210" s="57">
        <v>0</v>
      </c>
      <c r="O210" s="57">
        <v>0</v>
      </c>
      <c r="P210" s="61">
        <f t="shared" si="208"/>
        <v>4</v>
      </c>
      <c r="Q210" s="40">
        <f t="shared" si="215"/>
        <v>0</v>
      </c>
      <c r="R210" s="40">
        <f t="shared" si="216"/>
        <v>0</v>
      </c>
      <c r="S210" s="44">
        <f t="shared" si="217"/>
        <v>1255.8176790953282</v>
      </c>
      <c r="T210" s="35">
        <f t="shared" si="218"/>
        <v>4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340.68484349843425</v>
      </c>
      <c r="V210" s="57">
        <v>0</v>
      </c>
      <c r="W210" s="57">
        <v>0</v>
      </c>
      <c r="X210" s="61">
        <f t="shared" si="209"/>
        <v>4</v>
      </c>
      <c r="Y210" s="40">
        <f t="shared" si="219"/>
        <v>0</v>
      </c>
      <c r="Z210" s="40">
        <f t="shared" si="220"/>
        <v>0</v>
      </c>
      <c r="AA210" s="44">
        <f t="shared" si="221"/>
        <v>1362.739373993737</v>
      </c>
      <c r="AB210" s="35">
        <f t="shared" si="222"/>
        <v>4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369.34578067100648</v>
      </c>
      <c r="AD210" s="57">
        <v>0</v>
      </c>
      <c r="AE210" s="57">
        <v>0</v>
      </c>
      <c r="AF210" s="61">
        <f t="shared" si="210"/>
        <v>4</v>
      </c>
      <c r="AG210" s="40">
        <f t="shared" si="223"/>
        <v>0</v>
      </c>
      <c r="AH210" s="40">
        <f t="shared" si="224"/>
        <v>0</v>
      </c>
      <c r="AI210" s="44">
        <f t="shared" si="225"/>
        <v>1477.3831226840259</v>
      </c>
      <c r="AJ210" s="35">
        <f t="shared" si="211"/>
        <v>4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399.66909443321009</v>
      </c>
      <c r="AL210" s="57">
        <v>0</v>
      </c>
      <c r="AM210" s="57">
        <v>1</v>
      </c>
      <c r="AN210" s="61">
        <f t="shared" si="212"/>
        <v>3</v>
      </c>
      <c r="AO210" s="40">
        <f t="shared" si="226"/>
        <v>0</v>
      </c>
      <c r="AP210" s="40">
        <f t="shared" si="227"/>
        <v>-399.66909443321009</v>
      </c>
      <c r="AQ210" s="44">
        <f t="shared" si="228"/>
        <v>1199.0072832996302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1</v>
      </c>
      <c r="G211" s="35">
        <f>SUMIFS(WORKING!$AC$3:$AC$6802,WORKING!$A$3:$A$6802,Results!$D$3,WORKING!$B$3:$B$6802,Results!A211,WORKING!$C$3:$C$6802,Results!C211)/1000</f>
        <v>374.81017000000003</v>
      </c>
      <c r="H211" s="35">
        <f t="shared" si="213"/>
        <v>374.81017000000003</v>
      </c>
      <c r="I211" s="187">
        <v>1</v>
      </c>
      <c r="J211" s="212" t="s">
        <v>754</v>
      </c>
      <c r="K211" s="217">
        <f t="shared" si="214"/>
        <v>374.81017000000003</v>
      </c>
      <c r="L211" s="34">
        <f t="shared" si="207"/>
        <v>1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409.28911643273028</v>
      </c>
      <c r="N211" s="57">
        <v>0</v>
      </c>
      <c r="O211" s="57">
        <v>0</v>
      </c>
      <c r="P211" s="61">
        <f t="shared" si="208"/>
        <v>1</v>
      </c>
      <c r="Q211" s="40">
        <f t="shared" si="215"/>
        <v>0</v>
      </c>
      <c r="R211" s="40">
        <f t="shared" si="216"/>
        <v>0</v>
      </c>
      <c r="S211" s="44">
        <f t="shared" si="217"/>
        <v>409.28911643273028</v>
      </c>
      <c r="T211" s="35">
        <f t="shared" si="218"/>
        <v>1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444.48126192470471</v>
      </c>
      <c r="V211" s="57">
        <v>0</v>
      </c>
      <c r="W211" s="57">
        <v>0</v>
      </c>
      <c r="X211" s="61">
        <f t="shared" si="209"/>
        <v>1</v>
      </c>
      <c r="Y211" s="40">
        <f t="shared" si="219"/>
        <v>0</v>
      </c>
      <c r="Z211" s="40">
        <f t="shared" si="220"/>
        <v>0</v>
      </c>
      <c r="AA211" s="44">
        <f t="shared" si="221"/>
        <v>444.48126192470471</v>
      </c>
      <c r="AB211" s="35">
        <f t="shared" si="222"/>
        <v>1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482.24870919029075</v>
      </c>
      <c r="AD211" s="57">
        <v>0</v>
      </c>
      <c r="AE211" s="57">
        <v>0</v>
      </c>
      <c r="AF211" s="61">
        <f t="shared" si="210"/>
        <v>1</v>
      </c>
      <c r="AG211" s="40">
        <f t="shared" si="223"/>
        <v>0</v>
      </c>
      <c r="AH211" s="40">
        <f t="shared" si="224"/>
        <v>0</v>
      </c>
      <c r="AI211" s="44">
        <f t="shared" si="225"/>
        <v>482.24870919029075</v>
      </c>
      <c r="AJ211" s="35">
        <f t="shared" si="211"/>
        <v>1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522.24737330266862</v>
      </c>
      <c r="AL211" s="57">
        <v>0</v>
      </c>
      <c r="AM211" s="57">
        <v>0</v>
      </c>
      <c r="AN211" s="61">
        <f t="shared" si="212"/>
        <v>1</v>
      </c>
      <c r="AO211" s="40">
        <f t="shared" si="226"/>
        <v>0</v>
      </c>
      <c r="AP211" s="40">
        <f t="shared" si="227"/>
        <v>0</v>
      </c>
      <c r="AQ211" s="44">
        <f t="shared" si="228"/>
        <v>522.24737330266862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3</v>
      </c>
      <c r="G212" s="35">
        <f>SUMIFS(WORKING!$AC$3:$AC$6802,WORKING!$A$3:$A$6802,Results!$D$3,WORKING!$B$3:$B$6802,Results!A212,WORKING!$C$3:$C$6802,Results!C212)/1000</f>
        <v>1476.4045499999997</v>
      </c>
      <c r="H212" s="35">
        <f t="shared" si="213"/>
        <v>492.13484999999991</v>
      </c>
      <c r="I212" s="187">
        <v>3</v>
      </c>
      <c r="J212" s="212" t="s">
        <v>754</v>
      </c>
      <c r="K212" s="217">
        <f t="shared" si="214"/>
        <v>492.13484999999991</v>
      </c>
      <c r="L212" s="34">
        <f t="shared" si="207"/>
        <v>3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536.49808587834866</v>
      </c>
      <c r="N212" s="57">
        <v>0</v>
      </c>
      <c r="O212" s="57">
        <v>0</v>
      </c>
      <c r="P212" s="61">
        <f t="shared" si="208"/>
        <v>3</v>
      </c>
      <c r="Q212" s="40">
        <f t="shared" si="215"/>
        <v>0</v>
      </c>
      <c r="R212" s="40">
        <f t="shared" si="216"/>
        <v>0</v>
      </c>
      <c r="S212" s="44">
        <f t="shared" si="217"/>
        <v>1609.4942576350459</v>
      </c>
      <c r="T212" s="35">
        <f t="shared" si="218"/>
        <v>3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582.35706001274241</v>
      </c>
      <c r="V212" s="57">
        <v>0</v>
      </c>
      <c r="W212" s="57">
        <v>0</v>
      </c>
      <c r="X212" s="61">
        <f t="shared" si="209"/>
        <v>3</v>
      </c>
      <c r="Y212" s="40">
        <f t="shared" si="219"/>
        <v>0</v>
      </c>
      <c r="Z212" s="40">
        <f t="shared" si="220"/>
        <v>0</v>
      </c>
      <c r="AA212" s="44">
        <f t="shared" si="221"/>
        <v>1747.0711800382273</v>
      </c>
      <c r="AB212" s="35">
        <f t="shared" si="222"/>
        <v>3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631.5453478928622</v>
      </c>
      <c r="AD212" s="57">
        <v>0</v>
      </c>
      <c r="AE212" s="57">
        <v>0</v>
      </c>
      <c r="AF212" s="61">
        <f t="shared" si="210"/>
        <v>3</v>
      </c>
      <c r="AG212" s="40">
        <f t="shared" si="223"/>
        <v>0</v>
      </c>
      <c r="AH212" s="40">
        <f t="shared" si="224"/>
        <v>0</v>
      </c>
      <c r="AI212" s="44">
        <f t="shared" si="225"/>
        <v>1894.6360436785867</v>
      </c>
      <c r="AJ212" s="35">
        <f t="shared" si="211"/>
        <v>3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683.60723516081543</v>
      </c>
      <c r="AL212" s="57">
        <v>0</v>
      </c>
      <c r="AM212" s="57">
        <v>0</v>
      </c>
      <c r="AN212" s="61">
        <f t="shared" si="212"/>
        <v>3</v>
      </c>
      <c r="AO212" s="40">
        <f t="shared" si="226"/>
        <v>0</v>
      </c>
      <c r="AP212" s="40">
        <f t="shared" si="227"/>
        <v>0</v>
      </c>
      <c r="AQ212" s="44">
        <f t="shared" si="228"/>
        <v>2050.8217054824463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3</v>
      </c>
      <c r="G213" s="35">
        <f>SUMIFS(WORKING!$AC$3:$AC$6802,WORKING!$A$3:$A$6802,Results!$D$3,WORKING!$B$3:$B$6802,Results!A213,WORKING!$C$3:$C$6802,Results!C213)/1000</f>
        <v>1078.1747399999997</v>
      </c>
      <c r="H213" s="35">
        <f t="shared" si="213"/>
        <v>359.39157999999992</v>
      </c>
      <c r="I213" s="187">
        <v>3</v>
      </c>
      <c r="J213" s="212" t="s">
        <v>754</v>
      </c>
      <c r="K213" s="217">
        <f t="shared" si="214"/>
        <v>359.39157999999992</v>
      </c>
      <c r="L213" s="34">
        <f t="shared" si="207"/>
        <v>3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391.69237382598237</v>
      </c>
      <c r="N213" s="57">
        <v>0</v>
      </c>
      <c r="O213" s="57">
        <v>0</v>
      </c>
      <c r="P213" s="61">
        <f t="shared" si="208"/>
        <v>3</v>
      </c>
      <c r="Q213" s="40">
        <f t="shared" si="215"/>
        <v>0</v>
      </c>
      <c r="R213" s="40">
        <f t="shared" si="216"/>
        <v>0</v>
      </c>
      <c r="S213" s="44">
        <f t="shared" si="217"/>
        <v>1175.077121477947</v>
      </c>
      <c r="T213" s="35">
        <f t="shared" si="218"/>
        <v>3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425.14750981235375</v>
      </c>
      <c r="V213" s="57">
        <v>0</v>
      </c>
      <c r="W213" s="57">
        <v>0</v>
      </c>
      <c r="X213" s="61">
        <f t="shared" si="209"/>
        <v>3</v>
      </c>
      <c r="Y213" s="40">
        <f t="shared" si="219"/>
        <v>0</v>
      </c>
      <c r="Z213" s="40">
        <f t="shared" si="220"/>
        <v>0</v>
      </c>
      <c r="AA213" s="44">
        <f t="shared" si="221"/>
        <v>1275.4425294370612</v>
      </c>
      <c r="AB213" s="35">
        <f t="shared" si="222"/>
        <v>3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461.02875132226882</v>
      </c>
      <c r="AD213" s="57">
        <v>0</v>
      </c>
      <c r="AE213" s="57">
        <v>0</v>
      </c>
      <c r="AF213" s="61">
        <f t="shared" si="210"/>
        <v>3</v>
      </c>
      <c r="AG213" s="40">
        <f t="shared" si="223"/>
        <v>0</v>
      </c>
      <c r="AH213" s="40">
        <f t="shared" si="224"/>
        <v>0</v>
      </c>
      <c r="AI213" s="44">
        <f t="shared" si="225"/>
        <v>1383.0862539668065</v>
      </c>
      <c r="AJ213" s="35">
        <f t="shared" si="211"/>
        <v>3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499.00274388610808</v>
      </c>
      <c r="AL213" s="57">
        <v>0</v>
      </c>
      <c r="AM213" s="57">
        <v>0</v>
      </c>
      <c r="AN213" s="61">
        <f t="shared" si="212"/>
        <v>3</v>
      </c>
      <c r="AO213" s="40">
        <f t="shared" si="226"/>
        <v>0</v>
      </c>
      <c r="AP213" s="40">
        <f t="shared" si="227"/>
        <v>0</v>
      </c>
      <c r="AQ213" s="44">
        <f t="shared" si="228"/>
        <v>1497.0082316583243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3</v>
      </c>
      <c r="G214" s="35">
        <f>SUMIFS(WORKING!$AC$3:$AC$6802,WORKING!$A$3:$A$6802,Results!$D$3,WORKING!$B$3:$B$6802,Results!A214,WORKING!$C$3:$C$6802,Results!C214)/1000</f>
        <v>1531.5330599999998</v>
      </c>
      <c r="H214" s="35">
        <f t="shared" si="213"/>
        <v>510.51101999999992</v>
      </c>
      <c r="I214" s="187">
        <v>4</v>
      </c>
      <c r="J214" s="212" t="s">
        <v>754</v>
      </c>
      <c r="K214" s="217">
        <f t="shared" si="214"/>
        <v>382.88326499999994</v>
      </c>
      <c r="L214" s="34">
        <f t="shared" si="207"/>
        <v>4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417.5040298982999</v>
      </c>
      <c r="N214" s="57">
        <v>0</v>
      </c>
      <c r="O214" s="57">
        <v>0</v>
      </c>
      <c r="P214" s="61">
        <f t="shared" si="208"/>
        <v>4</v>
      </c>
      <c r="Q214" s="40">
        <f t="shared" si="215"/>
        <v>0</v>
      </c>
      <c r="R214" s="40">
        <f t="shared" si="216"/>
        <v>0</v>
      </c>
      <c r="S214" s="44">
        <f t="shared" si="217"/>
        <v>1670.0161195931996</v>
      </c>
      <c r="T214" s="35">
        <f t="shared" si="218"/>
        <v>4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452.71664793362328</v>
      </c>
      <c r="V214" s="57">
        <v>0</v>
      </c>
      <c r="W214" s="57">
        <v>0</v>
      </c>
      <c r="X214" s="61">
        <f t="shared" si="209"/>
        <v>4</v>
      </c>
      <c r="Y214" s="40">
        <f t="shared" si="219"/>
        <v>0</v>
      </c>
      <c r="Z214" s="40">
        <f t="shared" si="220"/>
        <v>0</v>
      </c>
      <c r="AA214" s="44">
        <f t="shared" si="221"/>
        <v>1810.8665917344931</v>
      </c>
      <c r="AB214" s="35">
        <f t="shared" si="222"/>
        <v>4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490.44034162101974</v>
      </c>
      <c r="AD214" s="57">
        <v>0</v>
      </c>
      <c r="AE214" s="57">
        <v>0</v>
      </c>
      <c r="AF214" s="61">
        <f t="shared" si="210"/>
        <v>4</v>
      </c>
      <c r="AG214" s="40">
        <f t="shared" si="223"/>
        <v>0</v>
      </c>
      <c r="AH214" s="40">
        <f t="shared" si="224"/>
        <v>0</v>
      </c>
      <c r="AI214" s="44">
        <f t="shared" si="225"/>
        <v>1961.761366484079</v>
      </c>
      <c r="AJ214" s="35">
        <f t="shared" si="211"/>
        <v>4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530.31342495668162</v>
      </c>
      <c r="AL214" s="57">
        <v>0</v>
      </c>
      <c r="AM214" s="57">
        <v>0</v>
      </c>
      <c r="AN214" s="61">
        <f t="shared" si="212"/>
        <v>4</v>
      </c>
      <c r="AO214" s="40">
        <f t="shared" si="226"/>
        <v>0</v>
      </c>
      <c r="AP214" s="40">
        <f t="shared" si="227"/>
        <v>0</v>
      </c>
      <c r="AQ214" s="44">
        <f t="shared" si="228"/>
        <v>2121.2536998267265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5</v>
      </c>
      <c r="G215" s="35">
        <f>SUMIFS(WORKING!$AC$3:$AC$6802,WORKING!$A$3:$A$6802,Results!$D$3,WORKING!$B$3:$B$6802,Results!A215,WORKING!$C$3:$C$6802,Results!C215)/1000</f>
        <v>3867.2226700000006</v>
      </c>
      <c r="H215" s="35">
        <f t="shared" si="213"/>
        <v>773.44453400000009</v>
      </c>
      <c r="I215" s="187">
        <v>5</v>
      </c>
      <c r="J215" s="212" t="s">
        <v>754</v>
      </c>
      <c r="K215" s="217">
        <f t="shared" si="214"/>
        <v>773.44453400000009</v>
      </c>
      <c r="L215" s="34">
        <f t="shared" si="207"/>
        <v>5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844.13353001788016</v>
      </c>
      <c r="N215" s="57">
        <v>0</v>
      </c>
      <c r="O215" s="57">
        <v>0</v>
      </c>
      <c r="P215" s="61">
        <f t="shared" si="208"/>
        <v>5</v>
      </c>
      <c r="Q215" s="40">
        <f t="shared" si="215"/>
        <v>0</v>
      </c>
      <c r="R215" s="40">
        <f t="shared" si="216"/>
        <v>0</v>
      </c>
      <c r="S215" s="44">
        <f t="shared" si="217"/>
        <v>4220.6676500894009</v>
      </c>
      <c r="T215" s="35">
        <f t="shared" si="218"/>
        <v>5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916.14588319285679</v>
      </c>
      <c r="V215" s="57">
        <v>0</v>
      </c>
      <c r="W215" s="57">
        <v>0</v>
      </c>
      <c r="X215" s="61">
        <f t="shared" si="209"/>
        <v>5</v>
      </c>
      <c r="Y215" s="40">
        <f t="shared" si="219"/>
        <v>0</v>
      </c>
      <c r="Z215" s="40">
        <f t="shared" si="220"/>
        <v>0</v>
      </c>
      <c r="AA215" s="44">
        <f t="shared" si="221"/>
        <v>4580.7294159642843</v>
      </c>
      <c r="AB215" s="35">
        <f t="shared" si="222"/>
        <v>5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993.37229856720239</v>
      </c>
      <c r="AD215" s="57">
        <v>0</v>
      </c>
      <c r="AE215" s="57">
        <v>0</v>
      </c>
      <c r="AF215" s="61">
        <f t="shared" si="210"/>
        <v>5</v>
      </c>
      <c r="AG215" s="40">
        <f t="shared" si="223"/>
        <v>0</v>
      </c>
      <c r="AH215" s="40">
        <f t="shared" si="224"/>
        <v>0</v>
      </c>
      <c r="AI215" s="44">
        <f t="shared" si="225"/>
        <v>4966.8614928360121</v>
      </c>
      <c r="AJ215" s="35">
        <f t="shared" si="211"/>
        <v>5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1075.0933357762719</v>
      </c>
      <c r="AL215" s="57">
        <v>0</v>
      </c>
      <c r="AM215" s="57">
        <v>0</v>
      </c>
      <c r="AN215" s="61">
        <f t="shared" si="212"/>
        <v>5</v>
      </c>
      <c r="AO215" s="40">
        <f t="shared" si="226"/>
        <v>0</v>
      </c>
      <c r="AP215" s="40">
        <f t="shared" si="227"/>
        <v>0</v>
      </c>
      <c r="AQ215" s="44">
        <f t="shared" si="228"/>
        <v>5375.4666788813593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4</v>
      </c>
      <c r="G216" s="35">
        <f>SUMIFS(WORKING!$AC$3:$AC$6802,WORKING!$A$3:$A$6802,Results!$D$3,WORKING!$B$3:$B$6802,Results!A216,WORKING!$C$3:$C$6802,Results!C216)/1000</f>
        <v>3672.1410100000003</v>
      </c>
      <c r="H216" s="35">
        <f t="shared" si="213"/>
        <v>918.03525250000007</v>
      </c>
      <c r="I216" s="187">
        <v>5</v>
      </c>
      <c r="J216" s="212" t="s">
        <v>754</v>
      </c>
      <c r="K216" s="217">
        <f t="shared" si="214"/>
        <v>734.42820200000006</v>
      </c>
      <c r="L216" s="34">
        <f t="shared" si="207"/>
        <v>5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769.82931432382998</v>
      </c>
      <c r="N216" s="57">
        <v>0</v>
      </c>
      <c r="O216" s="57">
        <v>0</v>
      </c>
      <c r="P216" s="61">
        <f t="shared" si="208"/>
        <v>5</v>
      </c>
      <c r="Q216" s="40">
        <f t="shared" si="215"/>
        <v>0</v>
      </c>
      <c r="R216" s="40">
        <f t="shared" si="216"/>
        <v>0</v>
      </c>
      <c r="S216" s="44">
        <f t="shared" si="217"/>
        <v>3849.1465716191497</v>
      </c>
      <c r="T216" s="35">
        <f t="shared" si="218"/>
        <v>5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828.02812328914047</v>
      </c>
      <c r="V216" s="57">
        <v>0</v>
      </c>
      <c r="W216" s="57">
        <v>0</v>
      </c>
      <c r="X216" s="61">
        <f t="shared" si="209"/>
        <v>5</v>
      </c>
      <c r="Y216" s="40">
        <f t="shared" si="219"/>
        <v>0</v>
      </c>
      <c r="Z216" s="40">
        <f t="shared" si="220"/>
        <v>0</v>
      </c>
      <c r="AA216" s="44">
        <f t="shared" si="221"/>
        <v>4140.1406164457021</v>
      </c>
      <c r="AB216" s="35">
        <f t="shared" si="222"/>
        <v>5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889.78652659406691</v>
      </c>
      <c r="AD216" s="57">
        <v>0</v>
      </c>
      <c r="AE216" s="57">
        <v>0</v>
      </c>
      <c r="AF216" s="61">
        <f t="shared" si="210"/>
        <v>5</v>
      </c>
      <c r="AG216" s="40">
        <f t="shared" si="223"/>
        <v>0</v>
      </c>
      <c r="AH216" s="40">
        <f t="shared" si="224"/>
        <v>0</v>
      </c>
      <c r="AI216" s="44">
        <f t="shared" si="225"/>
        <v>4448.9326329703345</v>
      </c>
      <c r="AJ216" s="35">
        <f t="shared" si="211"/>
        <v>5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954.34541250011057</v>
      </c>
      <c r="AL216" s="57">
        <v>0</v>
      </c>
      <c r="AM216" s="57">
        <v>0</v>
      </c>
      <c r="AN216" s="61">
        <f t="shared" si="212"/>
        <v>5</v>
      </c>
      <c r="AO216" s="40">
        <f t="shared" si="226"/>
        <v>0</v>
      </c>
      <c r="AP216" s="40">
        <f t="shared" si="227"/>
        <v>0</v>
      </c>
      <c r="AQ216" s="44">
        <f t="shared" si="228"/>
        <v>4771.7270625005531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1</v>
      </c>
      <c r="G217" s="35">
        <f>SUMIFS(WORKING!$AC$3:$AC$6802,WORKING!$A$3:$A$6802,Results!$D$3,WORKING!$B$3:$B$6802,Results!A217,WORKING!$C$3:$C$6802,Results!C217)/1000</f>
        <v>1123.15282</v>
      </c>
      <c r="H217" s="35">
        <f t="shared" si="213"/>
        <v>1123.15282</v>
      </c>
      <c r="I217" s="187">
        <v>1</v>
      </c>
      <c r="J217" s="212" t="s">
        <v>754</v>
      </c>
      <c r="K217" s="217">
        <f t="shared" si="214"/>
        <v>1123.15282</v>
      </c>
      <c r="L217" s="34">
        <f t="shared" si="207"/>
        <v>1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1176.2335930356999</v>
      </c>
      <c r="N217" s="57">
        <v>0</v>
      </c>
      <c r="O217" s="57">
        <v>0</v>
      </c>
      <c r="P217" s="61">
        <f t="shared" si="208"/>
        <v>1</v>
      </c>
      <c r="Q217" s="40">
        <f t="shared" si="215"/>
        <v>0</v>
      </c>
      <c r="R217" s="40">
        <f t="shared" si="216"/>
        <v>0</v>
      </c>
      <c r="S217" s="44">
        <f t="shared" si="217"/>
        <v>1176.2335930356999</v>
      </c>
      <c r="T217" s="35">
        <f t="shared" si="218"/>
        <v>1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1264.0197190729607</v>
      </c>
      <c r="V217" s="57">
        <v>0</v>
      </c>
      <c r="W217" s="57">
        <v>0</v>
      </c>
      <c r="X217" s="61">
        <f t="shared" si="209"/>
        <v>1</v>
      </c>
      <c r="Y217" s="40">
        <f t="shared" si="219"/>
        <v>0</v>
      </c>
      <c r="Z217" s="40">
        <f t="shared" si="220"/>
        <v>0</v>
      </c>
      <c r="AA217" s="44">
        <f t="shared" si="221"/>
        <v>1264.0197190729607</v>
      </c>
      <c r="AB217" s="35">
        <f t="shared" si="222"/>
        <v>1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1357.0761388303463</v>
      </c>
      <c r="AD217" s="57">
        <v>0</v>
      </c>
      <c r="AE217" s="57">
        <v>0</v>
      </c>
      <c r="AF217" s="61">
        <f t="shared" si="210"/>
        <v>1</v>
      </c>
      <c r="AG217" s="40">
        <f t="shared" si="223"/>
        <v>0</v>
      </c>
      <c r="AH217" s="40">
        <f t="shared" si="224"/>
        <v>0</v>
      </c>
      <c r="AI217" s="44">
        <f t="shared" si="225"/>
        <v>1357.0761388303463</v>
      </c>
      <c r="AJ217" s="35">
        <f t="shared" si="211"/>
        <v>1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1454.2316987955605</v>
      </c>
      <c r="AL217" s="57">
        <v>0</v>
      </c>
      <c r="AM217" s="57">
        <v>0</v>
      </c>
      <c r="AN217" s="61">
        <f t="shared" si="212"/>
        <v>1</v>
      </c>
      <c r="AO217" s="40">
        <f t="shared" si="226"/>
        <v>0</v>
      </c>
      <c r="AP217" s="40">
        <f t="shared" si="227"/>
        <v>0</v>
      </c>
      <c r="AQ217" s="44">
        <f t="shared" si="228"/>
        <v>1454.2316987955605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24</v>
      </c>
      <c r="G224" s="41">
        <f>SUM(G204:G223)</f>
        <v>14311.570960000001</v>
      </c>
      <c r="H224" s="41">
        <f>IFERROR(G224/F224,0)</f>
        <v>596.31545666666671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27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14311.570960000001</v>
      </c>
      <c r="K224" s="41">
        <f>IFERROR(J224/I224,"")</f>
        <v>530.05818370370378</v>
      </c>
      <c r="L224" s="41">
        <f>SUM(L204:L223)</f>
        <v>27</v>
      </c>
      <c r="M224" s="41">
        <f>IFERROR(S224/P224,0)</f>
        <v>569.10155959179633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27</v>
      </c>
      <c r="Q224" s="41">
        <f t="shared" si="230"/>
        <v>0</v>
      </c>
      <c r="R224" s="41">
        <f t="shared" si="230"/>
        <v>0</v>
      </c>
      <c r="S224" s="45">
        <f t="shared" si="230"/>
        <v>15365.742108978502</v>
      </c>
      <c r="T224" s="41">
        <f t="shared" si="230"/>
        <v>27</v>
      </c>
      <c r="U224" s="41">
        <f>IFERROR(AA224/X224,0)</f>
        <v>615.75891439300631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27</v>
      </c>
      <c r="Y224" s="41">
        <f t="shared" si="231"/>
        <v>0</v>
      </c>
      <c r="Z224" s="41">
        <f t="shared" si="231"/>
        <v>0</v>
      </c>
      <c r="AA224" s="45">
        <f t="shared" si="231"/>
        <v>16625.490688611171</v>
      </c>
      <c r="AB224" s="41">
        <f t="shared" si="231"/>
        <v>27</v>
      </c>
      <c r="AC224" s="41">
        <f>IFERROR(AI224/AF224,0)</f>
        <v>665.62910224594373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27</v>
      </c>
      <c r="AG224" s="41">
        <f t="shared" si="232"/>
        <v>0</v>
      </c>
      <c r="AH224" s="41">
        <f t="shared" si="232"/>
        <v>0</v>
      </c>
      <c r="AI224" s="45">
        <f t="shared" si="232"/>
        <v>17971.98576064048</v>
      </c>
      <c r="AJ224" s="41">
        <f t="shared" si="232"/>
        <v>27</v>
      </c>
      <c r="AK224" s="41">
        <f>IFERROR(AQ224/AN224,0)</f>
        <v>759.67054934989062</v>
      </c>
      <c r="AL224" s="41">
        <f t="shared" ref="AL224:AQ224" si="233">SUM(AL204:AL223)</f>
        <v>0</v>
      </c>
      <c r="AM224" s="41">
        <f t="shared" si="233"/>
        <v>2</v>
      </c>
      <c r="AN224" s="41">
        <f t="shared" si="233"/>
        <v>25</v>
      </c>
      <c r="AO224" s="41">
        <f t="shared" si="233"/>
        <v>0</v>
      </c>
      <c r="AP224" s="41">
        <f t="shared" si="233"/>
        <v>-399.66909443321009</v>
      </c>
      <c r="AQ224" s="45">
        <f t="shared" si="233"/>
        <v>18991.763733747266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17266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16793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17512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18842.912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1900.2578910214979</v>
      </c>
      <c r="T226" s="39"/>
      <c r="U226" s="39"/>
      <c r="V226" s="53"/>
      <c r="W226" s="53"/>
      <c r="X226" s="110"/>
      <c r="Y226" s="39"/>
      <c r="Z226" s="39"/>
      <c r="AA226" s="54">
        <f>AA225-AA224</f>
        <v>167.50931138882879</v>
      </c>
      <c r="AB226" s="39"/>
      <c r="AC226" s="53"/>
      <c r="AD226" s="53"/>
      <c r="AE226" s="110"/>
      <c r="AF226" s="39"/>
      <c r="AG226" s="39"/>
      <c r="AH226" s="39"/>
      <c r="AI226" s="54">
        <f>AI225-AI224</f>
        <v>-459.98576064048029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-148.85173374726583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iaioQ9tsIoRwf3hICUCFb4F0Mu3rFoRB+qcGdJmD5/JNFF0lEex4c4fP+eyt4ac1wQBe9ZWl16RXW1No3AT/6Q==" saltValue="9KY1CM7AKxq+Wz9YtY1APA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Energy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26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42671.506485185186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NAT_HRBP__42671.5064851852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HRBP-Vote26.xlsx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purl.org/dc/dcmitype/"/>
    <ds:schemaRef ds:uri="http://schemas.microsoft.com/office/2006/documentManagement/types"/>
    <ds:schemaRef ds:uri="df7ca258-5e24-45de-bd31-dbc76bc6765a"/>
    <ds:schemaRef ds:uri="http://schemas.microsoft.com/office/2006/metadata/properties"/>
    <ds:schemaRef ds:uri="http://schemas.microsoft.com/sharepoint/v3"/>
    <ds:schemaRef ds:uri="http://schemas.openxmlformats.org/package/2006/metadata/core-properties"/>
    <ds:schemaRef ds:uri="http://www.w3.org/XML/1998/namespace"/>
    <ds:schemaRef ds:uri="http://purl.org/dc/elements/1.1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2016-10-28T10:10:35Z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